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nagel\Downloads\"/>
    </mc:Choice>
  </mc:AlternateContent>
  <xr:revisionPtr revIDLastSave="0" documentId="13_ncr:1_{56562B65-820D-4429-AB58-1ACF9E27DC8F}" xr6:coauthVersionLast="43" xr6:coauthVersionMax="43" xr10:uidLastSave="{00000000-0000-0000-0000-000000000000}"/>
  <bookViews>
    <workbookView xWindow="-120" yWindow="-120" windowWidth="29040" windowHeight="15990" tabRatio="767" activeTab="1" xr2:uid="{00000000-000D-0000-FFFF-FFFF00000000}"/>
  </bookViews>
  <sheets>
    <sheet name="#data1" sheetId="2" r:id="rId1"/>
    <sheet name="KPI - Month Over Month Analysis" sheetId="3" r:id="rId2"/>
    <sheet name="#data2" sheetId="4" r:id="rId3"/>
    <sheet name="Expense Account Analysis" sheetId="5" r:id="rId4"/>
    <sheet name="#data3" sheetId="6" r:id="rId5"/>
    <sheet name="Income Analysis YOY but Month" sheetId="7" r:id="rId6"/>
    <sheet name="#data4" sheetId="8" r:id="rId7"/>
    <sheet name="Forecast Based on Performance " sheetId="9" r:id="rId8"/>
  </sheets>
  <definedNames>
    <definedName name="_xlnm.Print_Area" localSheetId="3">'Expense Account Analysis'!$A$2:$I$28</definedName>
    <definedName name="_xlnm.Print_Area" localSheetId="7">'Forecast Based on Performance '!$B$2:$L$33</definedName>
    <definedName name="_xlnm.Print_Area" localSheetId="5">'Income Analysis YOY but Month'!$A$2:$P$52</definedName>
    <definedName name="_xlnm.Print_Area" localSheetId="1">'KPI - Month Over Month Analysis'!$B$2:$I$42</definedName>
    <definedName name="TELAST">'#data2'!$B$48:$B$48</definedName>
    <definedName name="TETHIS">'#data2'!$C$48:$C$48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2" l="1"/>
  <c r="M34" i="2"/>
  <c r="G29" i="9" l="1"/>
  <c r="F29" i="9"/>
  <c r="B29" i="9"/>
  <c r="G27" i="9"/>
  <c r="F27" i="9"/>
  <c r="B27" i="9"/>
  <c r="G26" i="9"/>
  <c r="F26" i="9"/>
  <c r="B26" i="9"/>
  <c r="G25" i="9"/>
  <c r="F25" i="9"/>
  <c r="B25" i="9"/>
  <c r="G23" i="9"/>
  <c r="F23" i="9"/>
  <c r="B23" i="9"/>
  <c r="G21" i="9"/>
  <c r="F21" i="9"/>
  <c r="B21" i="9"/>
  <c r="G20" i="9"/>
  <c r="F20" i="9"/>
  <c r="B20" i="9"/>
  <c r="G19" i="9"/>
  <c r="F19" i="9"/>
  <c r="B19" i="9"/>
  <c r="G18" i="9"/>
  <c r="F18" i="9"/>
  <c r="B18" i="9"/>
  <c r="C11" i="9"/>
  <c r="B11" i="9"/>
  <c r="C10" i="9"/>
  <c r="B10" i="9"/>
  <c r="C9" i="9"/>
  <c r="B9" i="9"/>
  <c r="B6" i="9"/>
  <c r="H27" i="9" l="1"/>
  <c r="I27" i="9" s="1"/>
  <c r="J27" i="9" s="1"/>
  <c r="L27" i="9" s="1"/>
  <c r="H26" i="9"/>
  <c r="I26" i="9" s="1"/>
  <c r="J26" i="9" s="1"/>
  <c r="L26" i="9" s="1"/>
  <c r="H25" i="9"/>
  <c r="I25" i="9" s="1"/>
  <c r="J25" i="9" s="1"/>
  <c r="L25" i="9" s="1"/>
  <c r="H19" i="9"/>
  <c r="I19" i="9" s="1"/>
  <c r="J19" i="9" s="1"/>
  <c r="H20" i="9"/>
  <c r="I20" i="9" s="1"/>
  <c r="H23" i="9"/>
  <c r="H29" i="9"/>
  <c r="I29" i="9" s="1"/>
  <c r="J29" i="9" s="1"/>
  <c r="H18" i="9"/>
  <c r="I18" i="9" s="1"/>
  <c r="J18" i="9" s="1"/>
  <c r="H21" i="9"/>
  <c r="I21" i="9" s="1"/>
  <c r="J21" i="9" s="1"/>
  <c r="J20" i="9" l="1"/>
  <c r="L20" i="9" s="1"/>
  <c r="L19" i="9"/>
  <c r="L18" i="9"/>
  <c r="L29" i="9"/>
  <c r="I23" i="9"/>
  <c r="J23" i="9" s="1"/>
  <c r="L21" i="9"/>
  <c r="L23" i="9" l="1"/>
  <c r="N32" i="7" l="1"/>
  <c r="M32" i="7"/>
  <c r="L32" i="7"/>
  <c r="K32" i="7"/>
  <c r="J32" i="7"/>
  <c r="I32" i="7"/>
  <c r="H32" i="7"/>
  <c r="G32" i="7"/>
  <c r="F32" i="7"/>
  <c r="E32" i="7"/>
  <c r="D32" i="7"/>
  <c r="C32" i="7"/>
  <c r="N31" i="7"/>
  <c r="M31" i="7"/>
  <c r="L31" i="7"/>
  <c r="K31" i="7"/>
  <c r="J31" i="7"/>
  <c r="I31" i="7"/>
  <c r="H31" i="7"/>
  <c r="G31" i="7"/>
  <c r="F31" i="7"/>
  <c r="E31" i="7"/>
  <c r="D31" i="7"/>
  <c r="C31" i="7"/>
  <c r="N9" i="7"/>
  <c r="M9" i="7"/>
  <c r="L9" i="7"/>
  <c r="K9" i="7"/>
  <c r="J9" i="7"/>
  <c r="I9" i="7"/>
  <c r="H9" i="7"/>
  <c r="G9" i="7"/>
  <c r="F9" i="7"/>
  <c r="E9" i="7"/>
  <c r="D9" i="7"/>
  <c r="C9" i="7"/>
  <c r="N8" i="7"/>
  <c r="M8" i="7"/>
  <c r="L8" i="7"/>
  <c r="K8" i="7"/>
  <c r="J8" i="7"/>
  <c r="I8" i="7"/>
  <c r="H8" i="7"/>
  <c r="G8" i="7"/>
  <c r="F8" i="7"/>
  <c r="E8" i="7"/>
  <c r="D8" i="7"/>
  <c r="C8" i="7"/>
  <c r="C33" i="7" l="1"/>
  <c r="C10" i="7"/>
  <c r="M10" i="7"/>
  <c r="M33" i="7"/>
  <c r="D10" i="7"/>
  <c r="H10" i="7"/>
  <c r="L10" i="7"/>
  <c r="D33" i="7"/>
  <c r="H33" i="7"/>
  <c r="L33" i="7"/>
  <c r="E10" i="7"/>
  <c r="E33" i="7"/>
  <c r="F10" i="7"/>
  <c r="J10" i="7"/>
  <c r="N10" i="7"/>
  <c r="F33" i="7"/>
  <c r="J33" i="7"/>
  <c r="N33" i="7"/>
  <c r="I10" i="7"/>
  <c r="I33" i="7"/>
  <c r="G10" i="7"/>
  <c r="K10" i="7"/>
  <c r="G33" i="7"/>
  <c r="K33" i="7"/>
  <c r="D24" i="5" l="1"/>
  <c r="C24" i="5"/>
  <c r="B24" i="5"/>
  <c r="D23" i="5"/>
  <c r="C23" i="5"/>
  <c r="B23" i="5"/>
  <c r="D22" i="5"/>
  <c r="C22" i="5"/>
  <c r="B22" i="5"/>
  <c r="D21" i="5"/>
  <c r="C21" i="5"/>
  <c r="B21" i="5"/>
  <c r="D20" i="5"/>
  <c r="C20" i="5"/>
  <c r="E20" i="5" s="1"/>
  <c r="B20" i="5"/>
  <c r="D19" i="5"/>
  <c r="C19" i="5"/>
  <c r="B19" i="5"/>
  <c r="D18" i="5"/>
  <c r="C18" i="5"/>
  <c r="E18" i="5" s="1"/>
  <c r="B18" i="5"/>
  <c r="D17" i="5"/>
  <c r="C17" i="5"/>
  <c r="B17" i="5"/>
  <c r="D16" i="5"/>
  <c r="C16" i="5"/>
  <c r="B16" i="5"/>
  <c r="D15" i="5"/>
  <c r="C15" i="5"/>
  <c r="B15" i="5"/>
  <c r="B12" i="5"/>
  <c r="C10" i="5"/>
  <c r="B10" i="5"/>
  <c r="G9" i="5"/>
  <c r="D8" i="5"/>
  <c r="C8" i="5"/>
  <c r="B8" i="5"/>
  <c r="E22" i="5" l="1"/>
  <c r="E16" i="5"/>
  <c r="E24" i="5"/>
  <c r="E15" i="5"/>
  <c r="E19" i="5"/>
  <c r="E23" i="5"/>
  <c r="E17" i="5"/>
  <c r="E21" i="5"/>
  <c r="D10" i="5"/>
  <c r="C19" i="2" l="1"/>
  <c r="B19" i="2"/>
  <c r="J5" i="2"/>
  <c r="I5" i="2"/>
  <c r="C38" i="3"/>
  <c r="C34" i="3"/>
  <c r="C31" i="3"/>
  <c r="C28" i="3"/>
  <c r="E27" i="3"/>
  <c r="C27" i="3"/>
  <c r="C26" i="3"/>
  <c r="F25" i="3"/>
  <c r="E25" i="3"/>
  <c r="F24" i="3"/>
  <c r="E24" i="3"/>
  <c r="F23" i="3"/>
  <c r="E23" i="3"/>
  <c r="C22" i="3"/>
  <c r="F20" i="3"/>
  <c r="C19" i="3"/>
  <c r="C15" i="3"/>
  <c r="E14" i="3"/>
  <c r="C14" i="3"/>
  <c r="E13" i="3"/>
  <c r="C13" i="3"/>
  <c r="E12" i="3"/>
  <c r="C12" i="3"/>
  <c r="E11" i="3"/>
  <c r="C11" i="3"/>
  <c r="C10" i="3"/>
  <c r="F8" i="3"/>
  <c r="E8" i="3"/>
  <c r="C4" i="3"/>
  <c r="J35" i="2"/>
  <c r="F38" i="3" s="1"/>
  <c r="I35" i="2"/>
  <c r="E38" i="3" s="1"/>
  <c r="H37" i="3"/>
  <c r="J34" i="2"/>
  <c r="F37" i="3" s="1"/>
  <c r="I34" i="2"/>
  <c r="E37" i="3" s="1"/>
  <c r="F34" i="2"/>
  <c r="C37" i="3" s="1"/>
  <c r="M33" i="2"/>
  <c r="H36" i="3" s="1"/>
  <c r="J33" i="2"/>
  <c r="F36" i="3" s="1"/>
  <c r="I33" i="2"/>
  <c r="E36" i="3" s="1"/>
  <c r="F33" i="2"/>
  <c r="C36" i="3" s="1"/>
  <c r="H35" i="3"/>
  <c r="J32" i="2"/>
  <c r="F35" i="3" s="1"/>
  <c r="E35" i="3"/>
  <c r="F32" i="2"/>
  <c r="C35" i="3" s="1"/>
  <c r="M30" i="2"/>
  <c r="H33" i="3" s="1"/>
  <c r="J30" i="2"/>
  <c r="F33" i="3" s="1"/>
  <c r="I30" i="2"/>
  <c r="E33" i="3" s="1"/>
  <c r="F30" i="2"/>
  <c r="C33" i="3" s="1"/>
  <c r="M29" i="2"/>
  <c r="H32" i="3" s="1"/>
  <c r="J29" i="2"/>
  <c r="F32" i="3" s="1"/>
  <c r="I29" i="2"/>
  <c r="E32" i="3" s="1"/>
  <c r="F29" i="2"/>
  <c r="C32" i="3" s="1"/>
  <c r="M27" i="2"/>
  <c r="H30" i="3" s="1"/>
  <c r="J27" i="2"/>
  <c r="F30" i="3" s="1"/>
  <c r="I27" i="2"/>
  <c r="E30" i="3" s="1"/>
  <c r="F27" i="2"/>
  <c r="C30" i="3" s="1"/>
  <c r="M26" i="2"/>
  <c r="H29" i="3" s="1"/>
  <c r="J26" i="2"/>
  <c r="F29" i="3" s="1"/>
  <c r="I26" i="2"/>
  <c r="E29" i="3" s="1"/>
  <c r="F26" i="2"/>
  <c r="C29" i="3" s="1"/>
  <c r="M24" i="2"/>
  <c r="H27" i="3" s="1"/>
  <c r="J24" i="2"/>
  <c r="F27" i="3" s="1"/>
  <c r="I24" i="2"/>
  <c r="F24" i="2"/>
  <c r="M22" i="2"/>
  <c r="H25" i="3" s="1"/>
  <c r="J22" i="2"/>
  <c r="I22" i="2"/>
  <c r="F22" i="2"/>
  <c r="C25" i="3" s="1"/>
  <c r="M21" i="2"/>
  <c r="H24" i="3" s="1"/>
  <c r="J21" i="2"/>
  <c r="I21" i="2"/>
  <c r="F21" i="2"/>
  <c r="C24" i="3" s="1"/>
  <c r="M20" i="2"/>
  <c r="H23" i="3" s="1"/>
  <c r="J20" i="2"/>
  <c r="I20" i="2"/>
  <c r="F20" i="2"/>
  <c r="C23" i="3" s="1"/>
  <c r="F18" i="2"/>
  <c r="C21" i="3" s="1"/>
  <c r="M17" i="2"/>
  <c r="H20" i="3" s="1"/>
  <c r="J18" i="2"/>
  <c r="F21" i="3" s="1"/>
  <c r="I18" i="2"/>
  <c r="F17" i="2"/>
  <c r="C20" i="3" s="1"/>
  <c r="M14" i="2"/>
  <c r="H18" i="3" s="1"/>
  <c r="J14" i="2"/>
  <c r="F18" i="3" s="1"/>
  <c r="I14" i="2"/>
  <c r="E18" i="3" s="1"/>
  <c r="F14" i="2"/>
  <c r="C18" i="3" s="1"/>
  <c r="M13" i="2"/>
  <c r="H17" i="3" s="1"/>
  <c r="J13" i="2"/>
  <c r="F17" i="3" s="1"/>
  <c r="I13" i="2"/>
  <c r="E17" i="3" s="1"/>
  <c r="F13" i="2"/>
  <c r="C17" i="3" s="1"/>
  <c r="M12" i="2"/>
  <c r="H16" i="3" s="1"/>
  <c r="J12" i="2"/>
  <c r="F16" i="3" s="1"/>
  <c r="I12" i="2"/>
  <c r="E16" i="3" s="1"/>
  <c r="F12" i="2"/>
  <c r="C16" i="3" s="1"/>
  <c r="M10" i="2"/>
  <c r="H14" i="3" s="1"/>
  <c r="J10" i="2"/>
  <c r="F14" i="3" s="1"/>
  <c r="I10" i="2"/>
  <c r="F10" i="2"/>
  <c r="M9" i="2"/>
  <c r="H13" i="3" s="1"/>
  <c r="J9" i="2"/>
  <c r="F13" i="3" s="1"/>
  <c r="I9" i="2"/>
  <c r="F9" i="2"/>
  <c r="M8" i="2"/>
  <c r="H12" i="3" s="1"/>
  <c r="J8" i="2"/>
  <c r="F12" i="3" s="1"/>
  <c r="I8" i="2"/>
  <c r="F8" i="2"/>
  <c r="M7" i="2"/>
  <c r="H11" i="3" s="1"/>
  <c r="J7" i="2"/>
  <c r="F11" i="3" s="1"/>
  <c r="I7" i="2"/>
  <c r="F7" i="2"/>
  <c r="F4" i="2"/>
  <c r="A4" i="2"/>
  <c r="F1" i="2"/>
  <c r="A1" i="2"/>
  <c r="M18" i="2" l="1"/>
  <c r="H21" i="3" s="1"/>
  <c r="E21" i="3"/>
  <c r="M35" i="2"/>
  <c r="H38" i="3" s="1"/>
  <c r="E20" i="3"/>
</calcChain>
</file>

<file path=xl/sharedStrings.xml><?xml version="1.0" encoding="utf-8"?>
<sst xmlns="http://schemas.openxmlformats.org/spreadsheetml/2006/main" count="178" uniqueCount="139">
  <si>
    <t>Last Month</t>
  </si>
  <si>
    <t>Report Name Fields</t>
  </si>
  <si>
    <t>TREND</t>
  </si>
  <si>
    <t>Dec 2018</t>
  </si>
  <si>
    <t>Dec 2017</t>
  </si>
  <si>
    <t>PROFITABILITY</t>
  </si>
  <si>
    <t>PL</t>
  </si>
  <si>
    <t>Net Income</t>
  </si>
  <si>
    <t>ACTIVITY</t>
  </si>
  <si>
    <t>CASH</t>
  </si>
  <si>
    <t>BS</t>
  </si>
  <si>
    <t>EFFICIENCY</t>
  </si>
  <si>
    <t>ASSET USAGE</t>
  </si>
  <si>
    <t>TOTAL ASSETS</t>
  </si>
  <si>
    <t>LIQUIDITY</t>
  </si>
  <si>
    <t>DEBT</t>
  </si>
  <si>
    <t>VERTICAL ANALYSIS</t>
  </si>
  <si>
    <t>Qvinci Success Store</t>
  </si>
  <si>
    <t>KPI - Month Over Month Analysis for Month Ending:</t>
  </si>
  <si>
    <t>Trend</t>
  </si>
  <si>
    <t>a</t>
  </si>
  <si>
    <t>ENTITIES IN THIS REPORT</t>
  </si>
  <si>
    <t xml:space="preserve">1234 - Austin; Atlanta; Austin; Boston; Denver; Detroit; Kansas City; Nashville; New York; Saint Louis; San Antonio; Store 1; Waco </t>
  </si>
  <si>
    <t>Same Month Last Year</t>
  </si>
  <si>
    <t>Accounts</t>
  </si>
  <si>
    <t>Last YTD</t>
  </si>
  <si>
    <t>YTD</t>
  </si>
  <si>
    <t>Jan 01, 2017-Dec 31, 2017</t>
  </si>
  <si>
    <t>Jan 01, 2018-Dec 31, 2018</t>
  </si>
  <si>
    <t xml:space="preserve"> Insurance Expense</t>
  </si>
  <si>
    <t xml:space="preserve"> Utilities</t>
  </si>
  <si>
    <t xml:space="preserve"> TV Advertising</t>
  </si>
  <si>
    <t xml:space="preserve"> Janitorial Expense</t>
  </si>
  <si>
    <t xml:space="preserve"> Landscaping</t>
  </si>
  <si>
    <t xml:space="preserve"> Internet &amp; Cable</t>
  </si>
  <si>
    <t xml:space="preserve"> Rent/Lease</t>
  </si>
  <si>
    <t xml:space="preserve"> 68100 Telephone Expense</t>
  </si>
  <si>
    <t xml:space="preserve"> Payroll-Wages &amp; Taxes</t>
  </si>
  <si>
    <t xml:space="preserve"> Advertising and Promotion</t>
  </si>
  <si>
    <t xml:space="preserve"> Small Workout/Office Equipment</t>
  </si>
  <si>
    <t xml:space="preserve"> Franchise Fees</t>
  </si>
  <si>
    <t xml:space="preserve"> Hosting</t>
  </si>
  <si>
    <t xml:space="preserve"> Auto Expense</t>
  </si>
  <si>
    <t xml:space="preserve"> Session-related Events and SWAG</t>
  </si>
  <si>
    <t xml:space="preserve"> Professional Fees</t>
  </si>
  <si>
    <t xml:space="preserve"> Bank Service Charges and Merchant Fees</t>
  </si>
  <si>
    <t xml:space="preserve"> Office Supplies and Janitorial</t>
  </si>
  <si>
    <t xml:space="preserve"> Dues and Subscriptions</t>
  </si>
  <si>
    <t xml:space="preserve"> Repairs and Maintenance</t>
  </si>
  <si>
    <t>Marketing/PR Fees</t>
  </si>
  <si>
    <t xml:space="preserve"> Liability Insurance</t>
  </si>
  <si>
    <t xml:space="preserve"> Uniforms</t>
  </si>
  <si>
    <t>Training and Certification</t>
  </si>
  <si>
    <t xml:space="preserve"> Outside Services</t>
  </si>
  <si>
    <t xml:space="preserve"> Travel Expense</t>
  </si>
  <si>
    <t xml:space="preserve"> Total Expense</t>
  </si>
  <si>
    <t>Expense Account Analysis</t>
  </si>
  <si>
    <t>This Year</t>
  </si>
  <si>
    <t>Same Period 
Last Year</t>
  </si>
  <si>
    <t>% DIff</t>
  </si>
  <si>
    <t xml:space="preserve">Atlanta; Austin; Boston; Denver; Detroit; Kansas City; Nashville; New York; Saint Louis; San Antonio; Waco 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</si>
  <si>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</si>
  <si>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</si>
  <si>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</si>
  <si>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</si>
  <si>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</si>
  <si>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</si>
  <si>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</si>
  <si>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</si>
  <si>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</si>
  <si>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</si>
  <si>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</si>
  <si>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</si>
  <si>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</si>
  <si>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</si>
  <si>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</si>
  <si>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</si>
  <si>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</si>
  <si>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</si>
  <si>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</si>
  <si>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</si>
  <si>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</si>
  <si>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</si>
  <si>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Total Income</t>
  </si>
  <si>
    <t>Total Income Analysis Year Over Year By Month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</si>
  <si>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</si>
  <si>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</si>
  <si>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</si>
  <si>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</si>
  <si>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</si>
  <si>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</si>
  <si>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</si>
  <si>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</si>
  <si>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</si>
  <si>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</si>
  <si>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</si>
  <si>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</si>
  <si>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</si>
  <si>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Last Year Income</t>
  </si>
  <si>
    <t>This Year Income</t>
  </si>
  <si>
    <t>Variance</t>
  </si>
  <si>
    <t>Net Income Analysis Year Over Year By Month</t>
  </si>
  <si>
    <t>Last Year Net Income</t>
  </si>
  <si>
    <t>This Year Net Income</t>
  </si>
  <si>
    <t>Entities In This Report</t>
  </si>
  <si>
    <t xml:space="preserve">Atlanta; Austin; Boston; Denver; Detroit; Kansas City; Nashville; New York; Saint Louis; San Antonio;Waco </t>
  </si>
  <si>
    <t>Last 3 Months</t>
  </si>
  <si>
    <t>Last Year</t>
  </si>
  <si>
    <t>2 Years Ago</t>
  </si>
  <si>
    <t>Dec 01, 2018-Dec 31, 2018</t>
  </si>
  <si>
    <t>Oct 01, 2018-Dec 31, 2018</t>
  </si>
  <si>
    <t>Jan-Dec 2017</t>
  </si>
  <si>
    <t>Jan-Dec 2016</t>
  </si>
  <si>
    <t>Forecast Based on Prior Two Years Performance</t>
  </si>
  <si>
    <t>Snapshot Metrics</t>
  </si>
  <si>
    <t>Forward-looking Trend</t>
  </si>
  <si>
    <t>Actual</t>
  </si>
  <si>
    <t>Projected</t>
  </si>
  <si>
    <t>YTD - YOY Variance</t>
  </si>
  <si>
    <t>Last 90 Days</t>
  </si>
  <si>
    <t>Next 1 - 90 Days</t>
  </si>
  <si>
    <t>Next 91 - 180 Days</t>
  </si>
  <si>
    <t>Next 181 - 270 Days</t>
  </si>
  <si>
    <t>12 Month Trended Forecast</t>
  </si>
  <si>
    <t>Gross Profit</t>
  </si>
  <si>
    <t>Total Expense</t>
  </si>
  <si>
    <t>Total Accounts Receivable</t>
  </si>
  <si>
    <t>Total COGS</t>
  </si>
  <si>
    <t>Total Accounts Payable</t>
  </si>
  <si>
    <t>Total Liabilities</t>
  </si>
  <si>
    <t>Total Current Assets</t>
  </si>
  <si>
    <t>Total Current Liabilities</t>
  </si>
  <si>
    <t>Total Equity</t>
  </si>
  <si>
    <t>Total Checking/Savings</t>
  </si>
  <si>
    <t>Net Ordinary Income</t>
  </si>
  <si>
    <t>Total Other Income</t>
  </si>
  <si>
    <t>Total Other Expense</t>
  </si>
  <si>
    <t>Net Other Income</t>
  </si>
  <si>
    <t>Expense: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</si>
</sst>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#,###;\(#,###\);;@"/>
    <numFmt numFmtId="167" formatCode="[$-409]mmmm\ d\,\ yyyy;@"/>
    <numFmt numFmtId="168" formatCode="mmm\ yyyy"/>
    <numFmt numFmtId="169" formatCode="\$#,##0"/>
    <numFmt numFmtId="170" formatCode="0.0"/>
    <numFmt numFmtId="171" formatCode="\ #,##0;\ \(#,##0\);\ &quot;-&quot;??;@"/>
    <numFmt numFmtId="172" formatCode="[$-409]mmm\-yy;@"/>
    <numFmt numFmtId="173" formatCode="\$#,##0.00"/>
  </numFmts>
  <fonts count="79">
    <font>
      <sz val="11"/>
      <color theme="1"/>
      <name val="Calibri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.9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DC232B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C0"/>
      <name val="Arial"/>
      <family val="2"/>
    </font>
    <font>
      <b/>
      <sz val="11"/>
      <color rgb="FF558336"/>
      <name val="Arial"/>
      <family val="2"/>
    </font>
    <font>
      <b/>
      <sz val="11"/>
      <color rgb="FF2F76B7"/>
      <name val="Arial"/>
      <family val="2"/>
    </font>
    <font>
      <b/>
      <sz val="11"/>
      <color rgb="FF7030A0"/>
      <name val="Arial"/>
      <family val="2"/>
    </font>
    <font>
      <b/>
      <sz val="11"/>
      <color rgb="FFBF8F00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F76B7"/>
      <name val="Arial"/>
      <family val="2"/>
    </font>
    <font>
      <sz val="12"/>
      <color rgb="FF000000"/>
      <name val="Calibri"/>
      <family val="2"/>
    </font>
    <font>
      <b/>
      <sz val="15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4C5356"/>
      <name val="Arial"/>
      <family val="2"/>
    </font>
    <font>
      <sz val="10.5"/>
      <color rgb="FF4C5356"/>
      <name val="Arial"/>
      <family val="2"/>
    </font>
    <font>
      <b/>
      <sz val="15"/>
      <color rgb="FF000000"/>
      <name val="Arial"/>
      <family val="2"/>
    </font>
    <font>
      <b/>
      <sz val="22"/>
      <color rgb="FF000000"/>
      <name val="Arial"/>
      <family val="2"/>
    </font>
    <font>
      <b/>
      <sz val="14"/>
      <color rgb="FFFFFFFF"/>
      <name val="Arial"/>
      <family val="2"/>
    </font>
    <font>
      <sz val="12"/>
      <color rgb="FFFFFFFF"/>
      <name val="Arial"/>
      <family val="2"/>
    </font>
    <font>
      <sz val="12"/>
      <color theme="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9"/>
      <color rgb="FF4C5356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5"/>
      <color rgb="FF000000"/>
      <name val="Arial"/>
      <family val="2"/>
    </font>
    <font>
      <b/>
      <sz val="11"/>
      <color rgb="FF000000"/>
      <name val="10pt/18px Arial"/>
    </font>
    <font>
      <sz val="9.9499999999999993"/>
      <color theme="1"/>
      <name val="Arial"/>
      <family val="2"/>
    </font>
    <font>
      <b/>
      <sz val="9"/>
      <color rgb="FF000000"/>
      <name val="Arial"/>
      <family val="2"/>
    </font>
    <font>
      <sz val="11"/>
      <color theme="1"/>
      <name val="Calibri"/>
      <family val="2"/>
    </font>
    <font>
      <sz val="9"/>
      <color rgb="FF4C5356"/>
      <name val="Arial"/>
      <family val="2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4C5356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2EFDA"/>
        <bgColor rgb="FFE2EFDA"/>
      </patternFill>
    </fill>
    <fill>
      <patternFill patternType="solid">
        <fgColor rgb="FFE3EFDA"/>
        <bgColor rgb="FFE3EFDA"/>
      </patternFill>
    </fill>
    <fill>
      <patternFill patternType="solid">
        <fgColor rgb="FF396AB1"/>
        <bgColor rgb="FF396AB1"/>
      </patternFill>
    </fill>
    <fill>
      <patternFill patternType="solid">
        <fgColor rgb="FFD8D8D8"/>
        <bgColor rgb="FFD8D8D8"/>
      </patternFill>
    </fill>
    <fill>
      <patternFill patternType="solid">
        <fgColor rgb="FF366AB3"/>
        <bgColor rgb="FF366AB3"/>
      </patternFill>
    </fill>
    <fill>
      <patternFill patternType="solid">
        <fgColor rgb="FF396BB1"/>
        <bgColor rgb="FF396BB1"/>
      </patternFill>
    </fill>
    <fill>
      <patternFill patternType="solid">
        <fgColor rgb="FF000000"/>
        <bgColor rgb="FF000000"/>
      </patternFill>
    </fill>
    <fill>
      <patternFill patternType="solid">
        <fgColor rgb="FFB4D994"/>
        <bgColor rgb="FFB4D99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rgb="FFFEB80A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9DC4E6"/>
      </left>
      <right/>
      <top style="thin">
        <color rgb="FF9DC4E6"/>
      </top>
      <bottom/>
      <diagonal/>
    </border>
    <border>
      <left style="thin">
        <color rgb="FF9DC4E6"/>
      </left>
      <right style="thin">
        <color rgb="FF8EACDB"/>
      </right>
      <top style="thin">
        <color rgb="FF9DC4E6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9DC4E6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44" fillId="2" borderId="0" applyNumberFormat="0"/>
    <xf numFmtId="0" fontId="44" fillId="3" borderId="0" applyNumberFormat="0"/>
    <xf numFmtId="0" fontId="44" fillId="4" borderId="0" applyNumberFormat="0"/>
    <xf numFmtId="0" fontId="44" fillId="5" borderId="0" applyNumberFormat="0"/>
    <xf numFmtId="0" fontId="44" fillId="6" borderId="0" applyNumberFormat="0"/>
    <xf numFmtId="0" fontId="44" fillId="7" borderId="0" applyNumberFormat="0"/>
    <xf numFmtId="0" fontId="44" fillId="8" borderId="0" applyNumberFormat="0"/>
    <xf numFmtId="0" fontId="44" fillId="9" borderId="0" applyNumberFormat="0"/>
    <xf numFmtId="0" fontId="44" fillId="10" borderId="0" applyNumberFormat="0"/>
    <xf numFmtId="0" fontId="44" fillId="11" borderId="0" applyNumberFormat="0"/>
    <xf numFmtId="0" fontId="44" fillId="12" borderId="0" applyNumberFormat="0"/>
    <xf numFmtId="0" fontId="44" fillId="13" borderId="0" applyNumberFormat="0"/>
    <xf numFmtId="0" fontId="1" fillId="14" borderId="0" applyNumberFormat="0"/>
    <xf numFmtId="0" fontId="1" fillId="15" borderId="0" applyNumberFormat="0"/>
    <xf numFmtId="0" fontId="1" fillId="16" borderId="0" applyNumberFormat="0"/>
    <xf numFmtId="0" fontId="1" fillId="17" borderId="0" applyNumberFormat="0"/>
    <xf numFmtId="0" fontId="1" fillId="18" borderId="0" applyNumberFormat="0"/>
    <xf numFmtId="0" fontId="1" fillId="19" borderId="0" applyNumberFormat="0"/>
    <xf numFmtId="0" fontId="1" fillId="20" borderId="0" applyNumberFormat="0"/>
    <xf numFmtId="0" fontId="1" fillId="21" borderId="0" applyNumberFormat="0"/>
    <xf numFmtId="0" fontId="1" fillId="22" borderId="0" applyNumberFormat="0"/>
    <xf numFmtId="0" fontId="1" fillId="23" borderId="0" applyNumberFormat="0"/>
    <xf numFmtId="0" fontId="1" fillId="24" borderId="0" applyNumberFormat="0"/>
    <xf numFmtId="0" fontId="1" fillId="25" borderId="0" applyNumberFormat="0"/>
    <xf numFmtId="0" fontId="2" fillId="26" borderId="0" applyNumberFormat="0"/>
    <xf numFmtId="0" fontId="3" fillId="27" borderId="1" applyNumberFormat="0"/>
    <xf numFmtId="0" fontId="4" fillId="28" borderId="2" applyNumberFormat="0"/>
    <xf numFmtId="43" fontId="5" fillId="0" borderId="0"/>
    <xf numFmtId="41" fontId="5" fillId="0" borderId="0"/>
    <xf numFmtId="44" fontId="5" fillId="0" borderId="0"/>
    <xf numFmtId="42" fontId="5" fillId="0" borderId="0"/>
    <xf numFmtId="0" fontId="6" fillId="0" borderId="0" applyNumberFormat="0"/>
    <xf numFmtId="0" fontId="7" fillId="29" borderId="0" applyNumberFormat="0"/>
    <xf numFmtId="0" fontId="8" fillId="0" borderId="3" applyNumberFormat="0"/>
    <xf numFmtId="0" fontId="9" fillId="0" borderId="4" applyNumberFormat="0"/>
    <xf numFmtId="0" fontId="10" fillId="0" borderId="5" applyNumberFormat="0"/>
    <xf numFmtId="0" fontId="10" fillId="0" borderId="0" applyNumberFormat="0"/>
    <xf numFmtId="0" fontId="11" fillId="30" borderId="1" applyNumberFormat="0"/>
    <xf numFmtId="0" fontId="12" fillId="0" borderId="6" applyNumberFormat="0"/>
    <xf numFmtId="0" fontId="13" fillId="31" borderId="0" applyNumberFormat="0"/>
    <xf numFmtId="0" fontId="5" fillId="32" borderId="7" applyNumberFormat="0"/>
    <xf numFmtId="0" fontId="14" fillId="27" borderId="8" applyNumberFormat="0"/>
    <xf numFmtId="9" fontId="5" fillId="0" borderId="0"/>
    <xf numFmtId="0" fontId="15" fillId="0" borderId="0" applyNumberFormat="0"/>
    <xf numFmtId="0" fontId="16" fillId="0" borderId="9" applyNumberFormat="0"/>
    <xf numFmtId="0" fontId="17" fillId="0" borderId="0" applyNumberFormat="0"/>
    <xf numFmtId="0" fontId="45" fillId="0" borderId="0"/>
  </cellStyleXfs>
  <cellXfs count="409">
    <xf numFmtId="0" fontId="0" fillId="0" borderId="0" xfId="0" applyAlignment="1" applyProtection="1"/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33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0" fontId="26" fillId="33" borderId="0" xfId="0" applyNumberFormat="1" applyFont="1" applyFill="1" applyBorder="1" applyAlignment="1" applyProtection="1"/>
    <xf numFmtId="0" fontId="26" fillId="33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 wrapText="1"/>
    </xf>
    <xf numFmtId="10" fontId="31" fillId="0" borderId="0" xfId="0" applyNumberFormat="1" applyFont="1" applyFill="1" applyBorder="1" applyAlignment="1" applyProtection="1">
      <alignment horizontal="center"/>
    </xf>
    <xf numFmtId="0" fontId="22" fillId="33" borderId="0" xfId="0" applyNumberFormat="1" applyFont="1" applyFill="1" applyBorder="1" applyAlignment="1" applyProtection="1"/>
    <xf numFmtId="0" fontId="33" fillId="33" borderId="0" xfId="0" applyNumberFormat="1" applyFont="1" applyFill="1" applyBorder="1" applyAlignment="1" applyProtection="1"/>
    <xf numFmtId="0" fontId="34" fillId="33" borderId="0" xfId="0" applyNumberFormat="1" applyFont="1" applyFill="1" applyBorder="1" applyAlignment="1" applyProtection="1">
      <alignment vertical="top"/>
    </xf>
    <xf numFmtId="168" fontId="35" fillId="33" borderId="0" xfId="0" applyNumberFormat="1" applyFont="1" applyFill="1" applyBorder="1" applyAlignment="1" applyProtection="1">
      <alignment horizontal="center" vertical="center" wrapText="1"/>
    </xf>
    <xf numFmtId="0" fontId="35" fillId="33" borderId="0" xfId="0" applyNumberFormat="1" applyFont="1" applyFill="1" applyBorder="1" applyAlignment="1" applyProtection="1">
      <alignment horizontal="center" vertical="center"/>
    </xf>
    <xf numFmtId="169" fontId="26" fillId="33" borderId="0" xfId="0" applyNumberFormat="1" applyFont="1" applyFill="1" applyBorder="1" applyAlignment="1" applyProtection="1">
      <alignment horizontal="center" vertical="top"/>
    </xf>
    <xf numFmtId="9" fontId="26" fillId="33" borderId="0" xfId="0" applyNumberFormat="1" applyFont="1" applyFill="1" applyBorder="1" applyAlignment="1" applyProtection="1">
      <alignment vertical="top"/>
    </xf>
    <xf numFmtId="164" fontId="26" fillId="33" borderId="0" xfId="0" applyNumberFormat="1" applyFont="1" applyFill="1" applyBorder="1" applyAlignment="1" applyProtection="1">
      <alignment horizontal="center" vertical="top"/>
    </xf>
    <xf numFmtId="9" fontId="26" fillId="33" borderId="0" xfId="0" applyNumberFormat="1" applyFont="1" applyFill="1" applyBorder="1" applyAlignment="1" applyProtection="1">
      <alignment horizontal="center" vertical="top"/>
    </xf>
    <xf numFmtId="9" fontId="37" fillId="37" borderId="10" xfId="0" applyNumberFormat="1" applyFont="1" applyFill="1" applyBorder="1" applyAlignment="1" applyProtection="1">
      <alignment vertical="top"/>
    </xf>
    <xf numFmtId="0" fontId="38" fillId="37" borderId="10" xfId="0" applyNumberFormat="1" applyFont="1" applyFill="1" applyBorder="1" applyAlignment="1" applyProtection="1">
      <alignment vertical="top"/>
    </xf>
    <xf numFmtId="0" fontId="39" fillId="37" borderId="10" xfId="0" applyNumberFormat="1" applyFont="1" applyFill="1" applyBorder="1" applyAlignment="1" applyProtection="1">
      <alignment vertical="top"/>
    </xf>
    <xf numFmtId="1" fontId="26" fillId="33" borderId="0" xfId="0" applyNumberFormat="1" applyFont="1" applyFill="1" applyBorder="1" applyAlignment="1" applyProtection="1">
      <alignment horizontal="center" vertical="top"/>
    </xf>
    <xf numFmtId="9" fontId="38" fillId="37" borderId="10" xfId="0" applyNumberFormat="1" applyFont="1" applyFill="1" applyBorder="1" applyAlignment="1" applyProtection="1">
      <alignment vertical="top"/>
    </xf>
    <xf numFmtId="170" fontId="26" fillId="33" borderId="0" xfId="0" applyNumberFormat="1" applyFont="1" applyFill="1" applyBorder="1" applyAlignment="1" applyProtection="1">
      <alignment horizontal="center" vertical="top"/>
    </xf>
    <xf numFmtId="9" fontId="24" fillId="37" borderId="10" xfId="0" applyNumberFormat="1" applyFont="1" applyFill="1" applyBorder="1" applyAlignment="1" applyProtection="1">
      <alignment vertical="top"/>
    </xf>
    <xf numFmtId="0" fontId="23" fillId="37" borderId="10" xfId="0" applyNumberFormat="1" applyFont="1" applyFill="1" applyBorder="1" applyAlignment="1" applyProtection="1">
      <alignment vertical="top"/>
    </xf>
    <xf numFmtId="9" fontId="40" fillId="37" borderId="10" xfId="0" applyNumberFormat="1" applyFont="1" applyFill="1" applyBorder="1" applyAlignment="1" applyProtection="1">
      <alignment vertical="top"/>
    </xf>
    <xf numFmtId="0" fontId="41" fillId="37" borderId="10" xfId="0" applyNumberFormat="1" applyFont="1" applyFill="1" applyBorder="1" applyAlignment="1" applyProtection="1">
      <alignment vertical="top"/>
    </xf>
    <xf numFmtId="9" fontId="42" fillId="37" borderId="10" xfId="0" applyNumberFormat="1" applyFont="1" applyFill="1" applyBorder="1" applyAlignment="1" applyProtection="1">
      <alignment vertical="top"/>
    </xf>
    <xf numFmtId="9" fontId="23" fillId="37" borderId="1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wrapText="1"/>
    </xf>
    <xf numFmtId="0" fontId="22" fillId="33" borderId="0" xfId="0" applyNumberFormat="1" applyFont="1" applyFill="1" applyBorder="1" applyAlignment="1" applyProtection="1"/>
    <xf numFmtId="0" fontId="45" fillId="0" borderId="0" xfId="47"/>
    <xf numFmtId="0" fontId="19" fillId="0" borderId="0" xfId="47" applyFont="1" applyAlignment="1">
      <alignment vertical="top"/>
    </xf>
    <xf numFmtId="0" fontId="47" fillId="33" borderId="0" xfId="47" applyFont="1" applyFill="1"/>
    <xf numFmtId="0" fontId="48" fillId="0" borderId="0" xfId="47" applyFont="1" applyAlignment="1">
      <alignment horizontal="right" vertical="center"/>
    </xf>
    <xf numFmtId="0" fontId="50" fillId="0" borderId="0" xfId="47" applyFont="1" applyAlignment="1">
      <alignment vertical="center"/>
    </xf>
    <xf numFmtId="0" fontId="52" fillId="0" borderId="0" xfId="47" applyFont="1" applyAlignment="1">
      <alignment vertical="center"/>
    </xf>
    <xf numFmtId="0" fontId="34" fillId="33" borderId="0" xfId="47" applyFont="1" applyFill="1"/>
    <xf numFmtId="0" fontId="55" fillId="39" borderId="11" xfId="47" applyFont="1" applyFill="1" applyBorder="1" applyAlignment="1">
      <alignment horizontal="center" vertical="center" wrapText="1"/>
    </xf>
    <xf numFmtId="0" fontId="55" fillId="39" borderId="12" xfId="47" applyFont="1" applyFill="1" applyBorder="1" applyAlignment="1">
      <alignment horizontal="center" vertical="center" wrapText="1"/>
    </xf>
    <xf numFmtId="0" fontId="22" fillId="33" borderId="0" xfId="47" applyFont="1" applyFill="1" applyAlignment="1">
      <alignment horizontal="center" vertical="center"/>
    </xf>
    <xf numFmtId="0" fontId="34" fillId="39" borderId="14" xfId="47" applyFont="1" applyFill="1" applyBorder="1"/>
    <xf numFmtId="0" fontId="55" fillId="39" borderId="15" xfId="47" applyFont="1" applyFill="1" applyBorder="1" applyAlignment="1">
      <alignment horizontal="center" vertical="center" wrapText="1"/>
    </xf>
    <xf numFmtId="0" fontId="57" fillId="0" borderId="0" xfId="47" applyFont="1" applyAlignment="1">
      <alignment vertical="top"/>
    </xf>
    <xf numFmtId="0" fontId="55" fillId="33" borderId="19" xfId="47" applyFont="1" applyFill="1" applyBorder="1" applyAlignment="1">
      <alignment horizontal="center" vertical="center"/>
    </xf>
    <xf numFmtId="0" fontId="55" fillId="33" borderId="20" xfId="47" applyFont="1" applyFill="1" applyBorder="1" applyAlignment="1">
      <alignment horizontal="center" vertical="center"/>
    </xf>
    <xf numFmtId="0" fontId="58" fillId="40" borderId="18" xfId="47" applyFont="1" applyFill="1" applyBorder="1" applyAlignment="1">
      <alignment horizontal="center" vertical="center" wrapText="1"/>
    </xf>
    <xf numFmtId="169" fontId="26" fillId="33" borderId="21" xfId="47" applyNumberFormat="1" applyFont="1" applyFill="1" applyBorder="1" applyAlignment="1">
      <alignment horizontal="center" vertical="center"/>
    </xf>
    <xf numFmtId="9" fontId="26" fillId="33" borderId="18" xfId="47" applyNumberFormat="1" applyFont="1" applyFill="1" applyBorder="1" applyAlignment="1">
      <alignment horizontal="center" vertical="center"/>
    </xf>
    <xf numFmtId="169" fontId="26" fillId="37" borderId="21" xfId="47" applyNumberFormat="1" applyFont="1" applyFill="1" applyBorder="1" applyAlignment="1">
      <alignment horizontal="center" vertical="center"/>
    </xf>
    <xf numFmtId="9" fontId="26" fillId="37" borderId="18" xfId="47" applyNumberFormat="1" applyFont="1" applyFill="1" applyBorder="1" applyAlignment="1">
      <alignment horizontal="center" vertical="center"/>
    </xf>
    <xf numFmtId="169" fontId="26" fillId="37" borderId="15" xfId="47" applyNumberFormat="1" applyFont="1" applyFill="1" applyBorder="1" applyAlignment="1">
      <alignment horizontal="center" vertical="center"/>
    </xf>
    <xf numFmtId="169" fontId="26" fillId="37" borderId="22" xfId="47" applyNumberFormat="1" applyFont="1" applyFill="1" applyBorder="1" applyAlignment="1">
      <alignment horizontal="center" vertical="center"/>
    </xf>
    <xf numFmtId="9" fontId="26" fillId="37" borderId="16" xfId="47" applyNumberFormat="1" applyFont="1" applyFill="1" applyBorder="1" applyAlignment="1">
      <alignment horizontal="center" vertical="center"/>
    </xf>
    <xf numFmtId="0" fontId="47" fillId="33" borderId="0" xfId="47" applyFont="1" applyFill="1" applyAlignment="1">
      <alignment vertical="top"/>
    </xf>
    <xf numFmtId="0" fontId="0" fillId="0" borderId="0" xfId="0"/>
    <xf numFmtId="0" fontId="62" fillId="0" borderId="0" xfId="0" applyFont="1"/>
    <xf numFmtId="0" fontId="22" fillId="33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/>
    <xf numFmtId="0" fontId="65" fillId="33" borderId="12" xfId="0" applyFont="1" applyFill="1" applyBorder="1" applyAlignment="1">
      <alignment horizontal="center" vertical="top"/>
    </xf>
    <xf numFmtId="0" fontId="26" fillId="33" borderId="0" xfId="0" applyFont="1" applyFill="1" applyAlignment="1">
      <alignment vertical="top"/>
    </xf>
    <xf numFmtId="0" fontId="66" fillId="0" borderId="0" xfId="0" applyFont="1"/>
    <xf numFmtId="0" fontId="22" fillId="33" borderId="15" xfId="0" applyFont="1" applyFill="1" applyBorder="1" applyAlignment="1">
      <alignment vertical="top"/>
    </xf>
    <xf numFmtId="0" fontId="22" fillId="33" borderId="0" xfId="0" applyFont="1" applyFill="1"/>
    <xf numFmtId="0" fontId="26" fillId="33" borderId="0" xfId="0" applyFont="1" applyFill="1"/>
    <xf numFmtId="0" fontId="18" fillId="0" borderId="0" xfId="0" applyFont="1"/>
    <xf numFmtId="0" fontId="49" fillId="33" borderId="0" xfId="0" applyFont="1" applyFill="1"/>
    <xf numFmtId="0" fontId="50" fillId="0" borderId="0" xfId="0" applyFont="1"/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top"/>
    </xf>
    <xf numFmtId="0" fontId="26" fillId="33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73" fillId="0" borderId="0" xfId="0" applyFont="1"/>
    <xf numFmtId="0" fontId="33" fillId="33" borderId="27" xfId="0" applyNumberFormat="1" applyFont="1" applyFill="1" applyBorder="1" applyAlignment="1" applyProtection="1">
      <alignment horizontal="center"/>
    </xf>
    <xf numFmtId="0" fontId="33" fillId="33" borderId="28" xfId="0" applyNumberFormat="1" applyFont="1" applyFill="1" applyBorder="1" applyAlignment="1" applyProtection="1">
      <alignment horizontal="center"/>
    </xf>
    <xf numFmtId="0" fontId="22" fillId="33" borderId="27" xfId="0" applyNumberFormat="1" applyFont="1" applyFill="1" applyBorder="1" applyAlignment="1" applyProtection="1"/>
    <xf numFmtId="0" fontId="22" fillId="33" borderId="28" xfId="0" applyNumberFormat="1" applyFont="1" applyFill="1" applyBorder="1" applyAlignment="1" applyProtection="1"/>
    <xf numFmtId="0" fontId="33" fillId="33" borderId="27" xfId="0" applyNumberFormat="1" applyFont="1" applyFill="1" applyBorder="1" applyAlignment="1" applyProtection="1"/>
    <xf numFmtId="0" fontId="33" fillId="33" borderId="28" xfId="0" applyNumberFormat="1" applyFont="1" applyFill="1" applyBorder="1" applyAlignment="1" applyProtection="1"/>
    <xf numFmtId="0" fontId="22" fillId="33" borderId="27" xfId="0" applyNumberFormat="1" applyFont="1" applyFill="1" applyBorder="1" applyAlignment="1" applyProtection="1">
      <alignment vertical="top"/>
    </xf>
    <xf numFmtId="0" fontId="22" fillId="33" borderId="28" xfId="0" applyNumberFormat="1" applyFont="1" applyFill="1" applyBorder="1" applyAlignment="1" applyProtection="1">
      <alignment vertical="top"/>
    </xf>
    <xf numFmtId="0" fontId="23" fillId="33" borderId="27" xfId="0" applyNumberFormat="1" applyFont="1" applyFill="1" applyBorder="1" applyAlignment="1" applyProtection="1"/>
    <xf numFmtId="0" fontId="36" fillId="33" borderId="28" xfId="0" applyNumberFormat="1" applyFont="1" applyFill="1" applyBorder="1" applyAlignment="1" applyProtection="1">
      <alignment vertical="top"/>
    </xf>
    <xf numFmtId="0" fontId="23" fillId="33" borderId="28" xfId="0" applyNumberFormat="1" applyFont="1" applyFill="1" applyBorder="1" applyAlignment="1" applyProtection="1"/>
    <xf numFmtId="0" fontId="35" fillId="33" borderId="31" xfId="0" applyNumberFormat="1" applyFont="1" applyFill="1" applyBorder="1" applyAlignment="1" applyProtection="1">
      <alignment horizontal="center" wrapText="1"/>
    </xf>
    <xf numFmtId="0" fontId="51" fillId="33" borderId="27" xfId="47" applyFont="1" applyFill="1" applyBorder="1" applyAlignment="1">
      <alignment vertical="center"/>
    </xf>
    <xf numFmtId="0" fontId="51" fillId="33" borderId="0" xfId="47" applyFont="1" applyFill="1" applyBorder="1" applyAlignment="1">
      <alignment vertical="center"/>
    </xf>
    <xf numFmtId="0" fontId="51" fillId="33" borderId="28" xfId="47" applyFont="1" applyFill="1" applyBorder="1" applyAlignment="1">
      <alignment vertical="center"/>
    </xf>
    <xf numFmtId="0" fontId="47" fillId="33" borderId="28" xfId="47" applyFont="1" applyFill="1" applyBorder="1"/>
    <xf numFmtId="0" fontId="54" fillId="33" borderId="27" xfId="47" applyFont="1" applyFill="1" applyBorder="1" applyAlignment="1">
      <alignment vertical="center"/>
    </xf>
    <xf numFmtId="0" fontId="54" fillId="33" borderId="0" xfId="47" applyFont="1" applyFill="1" applyBorder="1" applyAlignment="1">
      <alignment vertical="center"/>
    </xf>
    <xf numFmtId="0" fontId="34" fillId="33" borderId="0" xfId="47" applyFont="1" applyFill="1" applyBorder="1"/>
    <xf numFmtId="0" fontId="47" fillId="33" borderId="0" xfId="47" applyFont="1" applyFill="1" applyBorder="1"/>
    <xf numFmtId="0" fontId="34" fillId="33" borderId="28" xfId="47" applyFont="1" applyFill="1" applyBorder="1"/>
    <xf numFmtId="0" fontId="55" fillId="39" borderId="33" xfId="47" applyFont="1" applyFill="1" applyBorder="1" applyAlignment="1">
      <alignment horizontal="center" vertical="center" wrapText="1"/>
    </xf>
    <xf numFmtId="169" fontId="23" fillId="33" borderId="34" xfId="47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</xf>
    <xf numFmtId="0" fontId="34" fillId="39" borderId="35" xfId="47" applyFont="1" applyFill="1" applyBorder="1"/>
    <xf numFmtId="0" fontId="34" fillId="33" borderId="27" xfId="47" applyFont="1" applyFill="1" applyBorder="1"/>
    <xf numFmtId="0" fontId="56" fillId="33" borderId="28" xfId="47" applyFont="1" applyFill="1" applyBorder="1" applyAlignment="1">
      <alignment horizontal="right"/>
    </xf>
    <xf numFmtId="0" fontId="55" fillId="33" borderId="36" xfId="47" applyFont="1" applyFill="1" applyBorder="1" applyAlignment="1">
      <alignment horizontal="center" vertical="center"/>
    </xf>
    <xf numFmtId="0" fontId="58" fillId="40" borderId="27" xfId="47" applyFont="1" applyFill="1" applyBorder="1" applyAlignment="1">
      <alignment horizontal="center" vertical="center" wrapText="1"/>
    </xf>
    <xf numFmtId="0" fontId="58" fillId="40" borderId="0" xfId="47" applyFont="1" applyFill="1" applyBorder="1" applyAlignment="1">
      <alignment horizontal="center" vertical="center" wrapText="1"/>
    </xf>
    <xf numFmtId="0" fontId="25" fillId="33" borderId="37" xfId="47" applyFont="1" applyFill="1" applyBorder="1" applyAlignment="1">
      <alignment horizontal="center" vertical="center" wrapText="1"/>
    </xf>
    <xf numFmtId="169" fontId="26" fillId="33" borderId="0" xfId="47" applyNumberFormat="1" applyFont="1" applyFill="1" applyBorder="1" applyAlignment="1">
      <alignment horizontal="center" vertical="center"/>
    </xf>
    <xf numFmtId="0" fontId="25" fillId="37" borderId="37" xfId="47" applyFont="1" applyFill="1" applyBorder="1" applyAlignment="1">
      <alignment horizontal="center" vertical="center" wrapText="1"/>
    </xf>
    <xf numFmtId="169" fontId="26" fillId="37" borderId="0" xfId="47" applyNumberFormat="1" applyFont="1" applyFill="1" applyBorder="1" applyAlignment="1">
      <alignment horizontal="center" vertical="center"/>
    </xf>
    <xf numFmtId="0" fontId="25" fillId="37" borderId="38" xfId="47" applyFont="1" applyFill="1" applyBorder="1" applyAlignment="1">
      <alignment horizontal="center" vertical="center" wrapText="1"/>
    </xf>
    <xf numFmtId="0" fontId="47" fillId="33" borderId="27" xfId="47" applyFont="1" applyFill="1" applyBorder="1"/>
    <xf numFmtId="0" fontId="19" fillId="0" borderId="26" xfId="0" applyFont="1" applyBorder="1" applyAlignment="1">
      <alignment vertical="top"/>
    </xf>
    <xf numFmtId="0" fontId="51" fillId="33" borderId="27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top"/>
    </xf>
    <xf numFmtId="0" fontId="19" fillId="0" borderId="28" xfId="0" applyFont="1" applyBorder="1" applyAlignment="1">
      <alignment vertical="top"/>
    </xf>
    <xf numFmtId="0" fontId="64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0" fontId="59" fillId="33" borderId="27" xfId="0" applyFont="1" applyFill="1" applyBorder="1" applyAlignment="1">
      <alignment vertical="top"/>
    </xf>
    <xf numFmtId="0" fontId="59" fillId="33" borderId="0" xfId="0" applyFont="1" applyFill="1" applyBorder="1" applyAlignment="1">
      <alignment vertical="top"/>
    </xf>
    <xf numFmtId="0" fontId="65" fillId="33" borderId="32" xfId="0" applyFont="1" applyFill="1" applyBorder="1" applyAlignment="1">
      <alignment vertical="top"/>
    </xf>
    <xf numFmtId="0" fontId="19" fillId="0" borderId="33" xfId="0" applyFont="1" applyBorder="1" applyAlignment="1">
      <alignment vertical="top"/>
    </xf>
    <xf numFmtId="0" fontId="49" fillId="33" borderId="27" xfId="0" applyFont="1" applyFill="1" applyBorder="1" applyAlignment="1">
      <alignment vertical="top"/>
    </xf>
    <xf numFmtId="3" fontId="49" fillId="33" borderId="0" xfId="0" applyNumberFormat="1" applyFont="1" applyFill="1" applyBorder="1" applyAlignment="1">
      <alignment vertical="top"/>
    </xf>
    <xf numFmtId="171" fontId="49" fillId="33" borderId="0" xfId="0" applyNumberFormat="1" applyFont="1" applyFill="1" applyBorder="1" applyAlignment="1">
      <alignment vertical="top"/>
    </xf>
    <xf numFmtId="0" fontId="22" fillId="33" borderId="34" xfId="0" applyFont="1" applyFill="1" applyBorder="1" applyAlignment="1">
      <alignment vertical="top"/>
    </xf>
    <xf numFmtId="0" fontId="19" fillId="0" borderId="35" xfId="0" applyFont="1" applyBorder="1" applyAlignment="1">
      <alignment vertical="top"/>
    </xf>
    <xf numFmtId="0" fontId="22" fillId="33" borderId="27" xfId="0" applyFont="1" applyFill="1" applyBorder="1" applyAlignment="1">
      <alignment vertical="top"/>
    </xf>
    <xf numFmtId="0" fontId="18" fillId="0" borderId="33" xfId="0" applyFont="1" applyBorder="1" applyAlignment="1">
      <alignment vertical="top"/>
    </xf>
    <xf numFmtId="0" fontId="50" fillId="0" borderId="28" xfId="0" applyFont="1" applyBorder="1" applyAlignment="1">
      <alignment vertical="top"/>
    </xf>
    <xf numFmtId="0" fontId="51" fillId="33" borderId="28" xfId="0" applyFont="1" applyFill="1" applyBorder="1" applyAlignment="1">
      <alignment vertical="center"/>
    </xf>
    <xf numFmtId="0" fontId="70" fillId="33" borderId="27" xfId="0" applyFont="1" applyFill="1" applyBorder="1" applyAlignment="1">
      <alignment vertical="top"/>
    </xf>
    <xf numFmtId="0" fontId="59" fillId="33" borderId="0" xfId="0" applyFont="1" applyFill="1" applyBorder="1"/>
    <xf numFmtId="0" fontId="59" fillId="33" borderId="28" xfId="0" applyFont="1" applyFill="1" applyBorder="1"/>
    <xf numFmtId="0" fontId="59" fillId="33" borderId="27" xfId="0" applyFont="1" applyFill="1" applyBorder="1"/>
    <xf numFmtId="0" fontId="55" fillId="33" borderId="0" xfId="0" applyFont="1" applyFill="1" applyBorder="1" applyAlignment="1">
      <alignment horizontal="left" vertical="center"/>
    </xf>
    <xf numFmtId="0" fontId="55" fillId="33" borderId="28" xfId="0" applyFont="1" applyFill="1" applyBorder="1" applyAlignment="1">
      <alignment horizontal="left" vertical="center"/>
    </xf>
    <xf numFmtId="0" fontId="69" fillId="33" borderId="27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28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wrapText="1"/>
    </xf>
    <xf numFmtId="0" fontId="51" fillId="33" borderId="0" xfId="0" applyFont="1" applyFill="1" applyBorder="1" applyAlignment="1">
      <alignment vertical="center" wrapText="1"/>
    </xf>
    <xf numFmtId="0" fontId="25" fillId="33" borderId="42" xfId="0" applyFont="1" applyFill="1" applyBorder="1" applyAlignment="1">
      <alignment horizontal="center" vertical="center" wrapText="1"/>
    </xf>
    <xf numFmtId="0" fontId="26" fillId="37" borderId="27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51" fillId="37" borderId="0" xfId="0" applyFont="1" applyFill="1" applyBorder="1" applyAlignment="1">
      <alignment horizontal="center" vertical="center"/>
    </xf>
    <xf numFmtId="164" fontId="51" fillId="37" borderId="0" xfId="0" applyNumberFormat="1" applyFont="1" applyFill="1" applyBorder="1" applyAlignment="1">
      <alignment horizontal="center" vertical="center"/>
    </xf>
    <xf numFmtId="169" fontId="26" fillId="37" borderId="0" xfId="0" applyNumberFormat="1" applyFont="1" applyFill="1" applyBorder="1" applyAlignment="1">
      <alignment horizontal="right" vertical="center"/>
    </xf>
    <xf numFmtId="169" fontId="25" fillId="37" borderId="28" xfId="0" applyNumberFormat="1" applyFont="1" applyFill="1" applyBorder="1" applyAlignment="1">
      <alignment horizontal="right" vertical="center"/>
    </xf>
    <xf numFmtId="0" fontId="26" fillId="33" borderId="27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164" fontId="51" fillId="33" borderId="0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right" vertical="center"/>
    </xf>
    <xf numFmtId="169" fontId="25" fillId="33" borderId="28" xfId="0" applyNumberFormat="1" applyFont="1" applyFill="1" applyBorder="1" applyAlignment="1">
      <alignment horizontal="right" vertical="center"/>
    </xf>
    <xf numFmtId="0" fontId="26" fillId="37" borderId="0" xfId="0" applyFont="1" applyFill="1" applyBorder="1" applyAlignment="1">
      <alignment horizontal="center" vertical="center"/>
    </xf>
    <xf numFmtId="164" fontId="59" fillId="33" borderId="0" xfId="0" applyNumberFormat="1" applyFont="1" applyFill="1" applyBorder="1" applyAlignment="1">
      <alignment vertical="top"/>
    </xf>
    <xf numFmtId="169" fontId="59" fillId="33" borderId="0" xfId="0" applyNumberFormat="1" applyFont="1" applyFill="1" applyBorder="1" applyAlignment="1">
      <alignment vertical="top"/>
    </xf>
    <xf numFmtId="0" fontId="72" fillId="37" borderId="27" xfId="0" applyFont="1" applyFill="1" applyBorder="1" applyAlignment="1">
      <alignment vertical="center"/>
    </xf>
    <xf numFmtId="0" fontId="72" fillId="37" borderId="0" xfId="0" applyFont="1" applyFill="1" applyBorder="1" applyAlignment="1">
      <alignment vertical="center"/>
    </xf>
    <xf numFmtId="169" fontId="25" fillId="37" borderId="0" xfId="0" applyNumberFormat="1" applyFont="1" applyFill="1" applyBorder="1" applyAlignment="1">
      <alignment horizontal="right" vertical="center"/>
    </xf>
    <xf numFmtId="0" fontId="26" fillId="33" borderId="43" xfId="0" applyNumberFormat="1" applyFont="1" applyFill="1" applyBorder="1" applyAlignment="1" applyProtection="1"/>
    <xf numFmtId="0" fontId="26" fillId="33" borderId="43" xfId="0" applyNumberFormat="1" applyFont="1" applyFill="1" applyBorder="1" applyAlignment="1" applyProtection="1">
      <alignment vertical="top"/>
    </xf>
    <xf numFmtId="0" fontId="31" fillId="33" borderId="43" xfId="0" applyNumberFormat="1" applyFont="1" applyFill="1" applyBorder="1" applyAlignment="1" applyProtection="1"/>
    <xf numFmtId="0" fontId="26" fillId="33" borderId="43" xfId="0" applyNumberFormat="1" applyFont="1" applyFill="1" applyBorder="1" applyAlignment="1" applyProtection="1">
      <alignment horizontal="center"/>
    </xf>
    <xf numFmtId="49" fontId="31" fillId="33" borderId="43" xfId="0" applyNumberFormat="1" applyFont="1" applyFill="1" applyBorder="1" applyAlignment="1" applyProtection="1">
      <alignment horizontal="left"/>
    </xf>
    <xf numFmtId="165" fontId="26" fillId="34" borderId="43" xfId="0" applyNumberFormat="1" applyFont="1" applyFill="1" applyBorder="1" applyAlignment="1" applyProtection="1">
      <alignment horizontal="center"/>
    </xf>
    <xf numFmtId="166" fontId="26" fillId="33" borderId="43" xfId="0" applyNumberFormat="1" applyFont="1" applyFill="1" applyBorder="1" applyAlignment="1" applyProtection="1"/>
    <xf numFmtId="9" fontId="26" fillId="34" borderId="43" xfId="0" applyNumberFormat="1" applyFont="1" applyFill="1" applyBorder="1" applyAlignment="1" applyProtection="1">
      <alignment horizontal="center"/>
    </xf>
    <xf numFmtId="49" fontId="26" fillId="33" borderId="43" xfId="0" applyNumberFormat="1" applyFont="1" applyFill="1" applyBorder="1" applyAlignment="1" applyProtection="1">
      <alignment horizontal="left"/>
    </xf>
    <xf numFmtId="9" fontId="31" fillId="34" borderId="43" xfId="0" applyNumberFormat="1" applyFont="1" applyFill="1" applyBorder="1" applyAlignment="1" applyProtection="1">
      <alignment horizontal="center"/>
    </xf>
    <xf numFmtId="2" fontId="31" fillId="34" borderId="43" xfId="0" applyNumberFormat="1" applyFont="1" applyFill="1" applyBorder="1" applyAlignment="1" applyProtection="1">
      <alignment horizontal="center"/>
    </xf>
    <xf numFmtId="0" fontId="26" fillId="33" borderId="43" xfId="0" applyNumberFormat="1" applyFont="1" applyFill="1" applyBorder="1" applyAlignment="1" applyProtection="1">
      <alignment horizontal="left"/>
    </xf>
    <xf numFmtId="0" fontId="31" fillId="33" borderId="43" xfId="0" applyNumberFormat="1" applyFont="1" applyFill="1" applyBorder="1" applyAlignment="1" applyProtection="1">
      <alignment horizontal="left"/>
    </xf>
    <xf numFmtId="165" fontId="31" fillId="34" borderId="43" xfId="0" applyNumberFormat="1" applyFont="1" applyFill="1" applyBorder="1" applyAlignment="1" applyProtection="1">
      <alignment horizontal="center"/>
    </xf>
    <xf numFmtId="0" fontId="26" fillId="33" borderId="43" xfId="0" applyNumberFormat="1" applyFont="1" applyFill="1" applyBorder="1" applyAlignment="1" applyProtection="1">
      <alignment horizontal="left" vertical="center"/>
    </xf>
    <xf numFmtId="170" fontId="31" fillId="34" borderId="43" xfId="0" applyNumberFormat="1" applyFont="1" applyFill="1" applyBorder="1" applyAlignment="1" applyProtection="1">
      <alignment horizontal="center"/>
    </xf>
    <xf numFmtId="0" fontId="26" fillId="33" borderId="43" xfId="0" applyNumberFormat="1" applyFont="1" applyFill="1" applyBorder="1" applyAlignment="1" applyProtection="1">
      <alignment horizontal="center" vertical="top"/>
    </xf>
    <xf numFmtId="0" fontId="46" fillId="33" borderId="0" xfId="47" applyFont="1" applyFill="1" applyAlignment="1">
      <alignment vertical="top" wrapText="1"/>
    </xf>
    <xf numFmtId="0" fontId="22" fillId="33" borderId="43" xfId="47" applyFont="1" applyFill="1" applyBorder="1" applyAlignment="1">
      <alignment vertical="top"/>
    </xf>
    <xf numFmtId="0" fontId="23" fillId="33" borderId="43" xfId="47" applyFont="1" applyFill="1" applyBorder="1" applyAlignment="1">
      <alignment horizontal="center" vertical="top"/>
    </xf>
    <xf numFmtId="0" fontId="47" fillId="33" borderId="43" xfId="47" applyFont="1" applyFill="1" applyBorder="1"/>
    <xf numFmtId="0" fontId="22" fillId="33" borderId="47" xfId="47" applyFont="1" applyFill="1" applyBorder="1" applyAlignment="1">
      <alignment vertical="top"/>
    </xf>
    <xf numFmtId="0" fontId="22" fillId="33" borderId="48" xfId="47" applyFont="1" applyFill="1" applyBorder="1" applyAlignment="1">
      <alignment vertical="top"/>
    </xf>
    <xf numFmtId="0" fontId="23" fillId="33" borderId="47" xfId="47" applyFont="1" applyFill="1" applyBorder="1" applyAlignment="1">
      <alignment horizontal="center" vertical="top"/>
    </xf>
    <xf numFmtId="0" fontId="23" fillId="33" borderId="48" xfId="47" applyFont="1" applyFill="1" applyBorder="1" applyAlignment="1">
      <alignment horizontal="center" vertical="top"/>
    </xf>
    <xf numFmtId="0" fontId="47" fillId="33" borderId="47" xfId="47" applyFont="1" applyFill="1" applyBorder="1"/>
    <xf numFmtId="0" fontId="47" fillId="33" borderId="48" xfId="47" applyFont="1" applyFill="1" applyBorder="1"/>
    <xf numFmtId="166" fontId="59" fillId="0" borderId="43" xfId="0" applyNumberFormat="1" applyFont="1" applyBorder="1"/>
    <xf numFmtId="0" fontId="59" fillId="33" borderId="43" xfId="0" applyFont="1" applyFill="1" applyBorder="1" applyAlignment="1">
      <alignment horizontal="center" vertical="center"/>
    </xf>
    <xf numFmtId="172" fontId="67" fillId="33" borderId="43" xfId="0" applyNumberFormat="1" applyFont="1" applyFill="1" applyBorder="1" applyAlignment="1">
      <alignment horizontal="center" vertical="center" wrapText="1"/>
    </xf>
    <xf numFmtId="0" fontId="67" fillId="33" borderId="43" xfId="0" applyFont="1" applyFill="1" applyBorder="1" applyAlignment="1">
      <alignment horizontal="right" vertical="center" wrapText="1"/>
    </xf>
    <xf numFmtId="0" fontId="69" fillId="33" borderId="43" xfId="0" applyFont="1" applyFill="1" applyBorder="1" applyAlignment="1">
      <alignment horizontal="right" vertical="center"/>
    </xf>
    <xf numFmtId="0" fontId="59" fillId="33" borderId="45" xfId="0" applyFont="1" applyFill="1" applyBorder="1" applyAlignment="1">
      <alignment horizontal="center" vertical="center"/>
    </xf>
    <xf numFmtId="0" fontId="59" fillId="33" borderId="46" xfId="0" applyFont="1" applyFill="1" applyBorder="1"/>
    <xf numFmtId="0" fontId="59" fillId="33" borderId="48" xfId="0" applyFont="1" applyFill="1" applyBorder="1"/>
    <xf numFmtId="172" fontId="67" fillId="33" borderId="48" xfId="0" applyNumberFormat="1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right" vertical="top"/>
    </xf>
    <xf numFmtId="0" fontId="26" fillId="33" borderId="43" xfId="0" applyNumberFormat="1" applyFont="1" applyFill="1" applyBorder="1" applyAlignment="1" applyProtection="1">
      <alignment vertical="center"/>
    </xf>
    <xf numFmtId="0" fontId="25" fillId="33" borderId="43" xfId="0" applyNumberFormat="1" applyFont="1" applyFill="1" applyBorder="1" applyAlignment="1" applyProtection="1">
      <alignment horizontal="center" vertical="center"/>
    </xf>
    <xf numFmtId="0" fontId="30" fillId="33" borderId="43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vertical="center"/>
    </xf>
    <xf numFmtId="0" fontId="26" fillId="33" borderId="43" xfId="0" applyNumberFormat="1" applyFont="1" applyFill="1" applyBorder="1" applyAlignment="1" applyProtection="1">
      <alignment horizontal="center" vertical="center" wrapText="1"/>
    </xf>
    <xf numFmtId="0" fontId="25" fillId="33" borderId="4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/>
    </xf>
    <xf numFmtId="49" fontId="30" fillId="33" borderId="43" xfId="0" applyNumberFormat="1" applyFont="1" applyFill="1" applyBorder="1" applyAlignment="1" applyProtection="1">
      <alignment horizontal="center" vertical="center"/>
    </xf>
    <xf numFmtId="49" fontId="25" fillId="33" borderId="43" xfId="0" applyNumberFormat="1" applyFont="1" applyFill="1" applyBorder="1" applyAlignment="1" applyProtection="1">
      <alignment horizontal="center" vertical="center"/>
    </xf>
    <xf numFmtId="0" fontId="23" fillId="33" borderId="47" xfId="47" applyFont="1" applyFill="1" applyBorder="1" applyAlignment="1">
      <alignment horizontal="center" vertical="center"/>
    </xf>
    <xf numFmtId="0" fontId="21" fillId="0" borderId="0" xfId="47" applyFont="1" applyAlignment="1">
      <alignment horizontal="center" vertical="center"/>
    </xf>
    <xf numFmtId="0" fontId="75" fillId="0" borderId="0" xfId="47" applyFont="1" applyAlignment="1">
      <alignment horizontal="center" vertical="center"/>
    </xf>
    <xf numFmtId="0" fontId="23" fillId="33" borderId="49" xfId="47" applyFont="1" applyFill="1" applyBorder="1" applyAlignment="1">
      <alignment vertical="top"/>
    </xf>
    <xf numFmtId="0" fontId="75" fillId="0" borderId="0" xfId="47" applyFont="1"/>
    <xf numFmtId="0" fontId="23" fillId="33" borderId="47" xfId="47" applyFont="1" applyFill="1" applyBorder="1" applyAlignment="1">
      <alignment vertical="top"/>
    </xf>
    <xf numFmtId="0" fontId="16" fillId="0" borderId="0" xfId="0" applyFont="1"/>
    <xf numFmtId="49" fontId="61" fillId="42" borderId="43" xfId="0" applyNumberFormat="1" applyFont="1" applyFill="1" applyBorder="1" applyAlignment="1">
      <alignment horizontal="center" vertical="center" wrapText="1"/>
    </xf>
    <xf numFmtId="49" fontId="23" fillId="43" borderId="43" xfId="47" applyNumberFormat="1" applyFont="1" applyFill="1" applyBorder="1" applyAlignment="1">
      <alignment horizontal="center" vertical="center" wrapText="1"/>
    </xf>
    <xf numFmtId="49" fontId="23" fillId="43" borderId="48" xfId="47" applyNumberFormat="1" applyFont="1" applyFill="1" applyBorder="1" applyAlignment="1">
      <alignment horizontal="center" vertical="center" wrapText="1"/>
    </xf>
    <xf numFmtId="0" fontId="25" fillId="43" borderId="43" xfId="0" applyNumberFormat="1" applyFont="1" applyFill="1" applyBorder="1" applyAlignment="1" applyProtection="1">
      <alignment horizontal="center" vertical="center" wrapText="1"/>
    </xf>
    <xf numFmtId="0" fontId="29" fillId="43" borderId="43" xfId="0" applyNumberFormat="1" applyFont="1" applyFill="1" applyBorder="1" applyAlignment="1" applyProtection="1">
      <alignment horizontal="center" vertical="center" wrapText="1"/>
    </xf>
    <xf numFmtId="0" fontId="30" fillId="43" borderId="43" xfId="0" applyNumberFormat="1" applyFont="1" applyFill="1" applyBorder="1" applyAlignment="1" applyProtection="1">
      <alignment horizontal="center" vertical="center" wrapText="1"/>
    </xf>
    <xf numFmtId="0" fontId="67" fillId="44" borderId="43" xfId="0" applyFont="1" applyFill="1" applyBorder="1" applyAlignment="1">
      <alignment horizontal="center" vertical="center" wrapText="1"/>
    </xf>
    <xf numFmtId="0" fontId="67" fillId="44" borderId="48" xfId="0" applyFont="1" applyFill="1" applyBorder="1" applyAlignment="1">
      <alignment horizontal="center" vertical="center" wrapText="1"/>
    </xf>
    <xf numFmtId="166" fontId="77" fillId="33" borderId="43" xfId="0" applyNumberFormat="1" applyFont="1" applyFill="1" applyBorder="1" applyAlignment="1">
      <alignment horizontal="right" vertical="center"/>
    </xf>
    <xf numFmtId="166" fontId="77" fillId="33" borderId="48" xfId="0" applyNumberFormat="1" applyFont="1" applyFill="1" applyBorder="1" applyAlignment="1">
      <alignment horizontal="right" vertical="top"/>
    </xf>
    <xf numFmtId="166" fontId="77" fillId="33" borderId="43" xfId="0" applyNumberFormat="1" applyFont="1" applyFill="1" applyBorder="1" applyAlignment="1">
      <alignment horizontal="right" vertical="top"/>
    </xf>
    <xf numFmtId="0" fontId="77" fillId="33" borderId="43" xfId="0" applyFont="1" applyFill="1" applyBorder="1" applyAlignment="1">
      <alignment horizontal="right" vertical="top"/>
    </xf>
    <xf numFmtId="0" fontId="77" fillId="33" borderId="48" xfId="0" applyFont="1" applyFill="1" applyBorder="1" applyAlignment="1">
      <alignment horizontal="right" vertical="top"/>
    </xf>
    <xf numFmtId="166" fontId="77" fillId="33" borderId="50" xfId="0" applyNumberFormat="1" applyFont="1" applyFill="1" applyBorder="1" applyAlignment="1">
      <alignment horizontal="right" vertical="center"/>
    </xf>
    <xf numFmtId="166" fontId="77" fillId="33" borderId="51" xfId="0" applyNumberFormat="1" applyFont="1" applyFill="1" applyBorder="1" applyAlignment="1">
      <alignment horizontal="right" vertical="top"/>
    </xf>
    <xf numFmtId="0" fontId="78" fillId="33" borderId="44" xfId="0" applyFont="1" applyFill="1" applyBorder="1"/>
    <xf numFmtId="0" fontId="78" fillId="33" borderId="47" xfId="0" applyFont="1" applyFill="1" applyBorder="1"/>
    <xf numFmtId="0" fontId="78" fillId="33" borderId="47" xfId="0" applyFont="1" applyFill="1" applyBorder="1" applyAlignment="1">
      <alignment horizontal="center" vertical="center" wrapText="1"/>
    </xf>
    <xf numFmtId="0" fontId="78" fillId="33" borderId="47" xfId="0" applyFont="1" applyFill="1" applyBorder="1" applyAlignment="1">
      <alignment vertical="center" wrapText="1"/>
    </xf>
    <xf numFmtId="0" fontId="78" fillId="33" borderId="47" xfId="0" applyFont="1" applyFill="1" applyBorder="1" applyAlignment="1">
      <alignment vertical="center"/>
    </xf>
    <xf numFmtId="0" fontId="77" fillId="0" borderId="47" xfId="0" applyFont="1" applyFill="1" applyBorder="1" applyAlignment="1">
      <alignment vertical="center"/>
    </xf>
    <xf numFmtId="0" fontId="78" fillId="0" borderId="47" xfId="0" applyFont="1" applyFill="1" applyBorder="1" applyAlignment="1">
      <alignment vertical="top"/>
    </xf>
    <xf numFmtId="0" fontId="77" fillId="0" borderId="47" xfId="0" applyFont="1" applyFill="1" applyBorder="1" applyAlignment="1">
      <alignment vertical="top"/>
    </xf>
    <xf numFmtId="0" fontId="77" fillId="0" borderId="49" xfId="0" applyFont="1" applyFill="1" applyBorder="1" applyAlignment="1">
      <alignment vertical="center"/>
    </xf>
    <xf numFmtId="0" fontId="78" fillId="0" borderId="0" xfId="0" applyFont="1"/>
    <xf numFmtId="3" fontId="22" fillId="33" borderId="43" xfId="47" applyNumberFormat="1" applyFont="1" applyFill="1" applyBorder="1" applyAlignment="1">
      <alignment vertical="top"/>
    </xf>
    <xf numFmtId="3" fontId="22" fillId="33" borderId="48" xfId="47" applyNumberFormat="1" applyFont="1" applyFill="1" applyBorder="1" applyAlignment="1">
      <alignment vertical="top"/>
    </xf>
    <xf numFmtId="3" fontId="23" fillId="33" borderId="50" xfId="47" applyNumberFormat="1" applyFont="1" applyFill="1" applyBorder="1" applyAlignment="1">
      <alignment vertical="top"/>
    </xf>
    <xf numFmtId="3" fontId="23" fillId="33" borderId="51" xfId="47" applyNumberFormat="1" applyFont="1" applyFill="1" applyBorder="1" applyAlignment="1">
      <alignment vertical="top"/>
    </xf>
    <xf numFmtId="0" fontId="53" fillId="33" borderId="27" xfId="47" applyFont="1" applyFill="1" applyBorder="1" applyAlignment="1">
      <alignment vertical="center"/>
    </xf>
    <xf numFmtId="0" fontId="53" fillId="33" borderId="0" xfId="47" applyFont="1" applyFill="1" applyBorder="1" applyAlignment="1">
      <alignment vertical="center"/>
    </xf>
    <xf numFmtId="169" fontId="23" fillId="33" borderId="15" xfId="47" applyNumberFormat="1" applyFont="1" applyFill="1" applyBorder="1" applyAlignment="1">
      <alignment horizontal="center" vertical="center"/>
    </xf>
    <xf numFmtId="0" fontId="27" fillId="33" borderId="52" xfId="0" applyNumberFormat="1" applyFont="1" applyFill="1" applyBorder="1" applyAlignment="1" applyProtection="1">
      <alignment horizontal="left" vertical="top" wrapText="1"/>
    </xf>
    <xf numFmtId="0" fontId="26" fillId="33" borderId="52" xfId="0" applyNumberFormat="1" applyFont="1" applyFill="1" applyBorder="1" applyAlignment="1" applyProtection="1">
      <alignment vertical="top"/>
    </xf>
    <xf numFmtId="0" fontId="26" fillId="33" borderId="45" xfId="0" applyNumberFormat="1" applyFont="1" applyFill="1" applyBorder="1" applyAlignment="1" applyProtection="1"/>
    <xf numFmtId="0" fontId="26" fillId="33" borderId="50" xfId="0" applyNumberFormat="1" applyFont="1" applyFill="1" applyBorder="1" applyAlignment="1" applyProtection="1"/>
    <xf numFmtId="0" fontId="27" fillId="33" borderId="53" xfId="0" applyNumberFormat="1" applyFont="1" applyFill="1" applyBorder="1" applyAlignment="1" applyProtection="1">
      <alignment horizontal="left" vertical="top" wrapText="1"/>
    </xf>
    <xf numFmtId="0" fontId="27" fillId="33" borderId="54" xfId="0" applyNumberFormat="1" applyFont="1" applyFill="1" applyBorder="1" applyAlignment="1" applyProtection="1">
      <alignment horizontal="left" vertical="top" wrapText="1"/>
    </xf>
    <xf numFmtId="0" fontId="26" fillId="43" borderId="47" xfId="0" applyNumberFormat="1" applyFont="1" applyFill="1" applyBorder="1" applyAlignment="1" applyProtection="1">
      <alignment horizontal="center" vertical="center" wrapText="1"/>
    </xf>
    <xf numFmtId="0" fontId="30" fillId="43" borderId="48" xfId="0" applyNumberFormat="1" applyFont="1" applyFill="1" applyBorder="1" applyAlignment="1" applyProtection="1">
      <alignment horizontal="center" vertical="center" wrapText="1"/>
    </xf>
    <xf numFmtId="0" fontId="25" fillId="33" borderId="47" xfId="0" applyNumberFormat="1" applyFont="1" applyFill="1" applyBorder="1" applyAlignment="1" applyProtection="1">
      <alignment horizontal="center" vertical="center"/>
    </xf>
    <xf numFmtId="0" fontId="30" fillId="33" borderId="48" xfId="0" applyNumberFormat="1" applyFont="1" applyFill="1" applyBorder="1" applyAlignment="1" applyProtection="1">
      <alignment horizontal="center" vertical="center"/>
    </xf>
    <xf numFmtId="0" fontId="25" fillId="33" borderId="47" xfId="0" applyNumberFormat="1" applyFont="1" applyFill="1" applyBorder="1" applyAlignment="1" applyProtection="1"/>
    <xf numFmtId="164" fontId="31" fillId="35" borderId="48" xfId="0" applyNumberFormat="1" applyFont="1" applyFill="1" applyBorder="1" applyAlignment="1" applyProtection="1">
      <alignment horizontal="center"/>
    </xf>
    <xf numFmtId="0" fontId="26" fillId="33" borderId="47" xfId="0" applyNumberFormat="1" applyFont="1" applyFill="1" applyBorder="1" applyAlignment="1" applyProtection="1">
      <alignment vertical="top"/>
    </xf>
    <xf numFmtId="0" fontId="26" fillId="33" borderId="47" xfId="0" applyNumberFormat="1" applyFont="1" applyFill="1" applyBorder="1" applyAlignment="1" applyProtection="1"/>
    <xf numFmtId="0" fontId="74" fillId="0" borderId="27" xfId="0" applyNumberFormat="1" applyFont="1" applyFill="1" applyBorder="1" applyAlignment="1" applyProtection="1">
      <alignment horizontal="center" vertical="center"/>
    </xf>
    <xf numFmtId="164" fontId="30" fillId="35" borderId="48" xfId="0" applyNumberFormat="1" applyFont="1" applyFill="1" applyBorder="1" applyAlignment="1" applyProtection="1">
      <alignment horizontal="center" vertical="center"/>
    </xf>
    <xf numFmtId="0" fontId="26" fillId="33" borderId="49" xfId="0" applyNumberFormat="1" applyFont="1" applyFill="1" applyBorder="1" applyAlignment="1" applyProtection="1">
      <alignment vertical="top"/>
    </xf>
    <xf numFmtId="0" fontId="26" fillId="33" borderId="50" xfId="0" applyNumberFormat="1" applyFont="1" applyFill="1" applyBorder="1" applyAlignment="1" applyProtection="1">
      <alignment horizontal="left" vertical="center"/>
    </xf>
    <xf numFmtId="0" fontId="26" fillId="33" borderId="50" xfId="0" applyNumberFormat="1" applyFont="1" applyFill="1" applyBorder="1" applyAlignment="1" applyProtection="1">
      <alignment vertical="top"/>
    </xf>
    <xf numFmtId="165" fontId="31" fillId="34" borderId="50" xfId="0" applyNumberFormat="1" applyFont="1" applyFill="1" applyBorder="1" applyAlignment="1" applyProtection="1">
      <alignment horizontal="center"/>
    </xf>
    <xf numFmtId="164" fontId="31" fillId="35" borderId="51" xfId="0" applyNumberFormat="1" applyFont="1" applyFill="1" applyBorder="1" applyAlignment="1" applyProtection="1">
      <alignment horizontal="center"/>
    </xf>
    <xf numFmtId="0" fontId="76" fillId="0" borderId="44" xfId="0" applyFont="1" applyBorder="1"/>
    <xf numFmtId="0" fontId="59" fillId="0" borderId="45" xfId="0" applyFont="1" applyBorder="1"/>
    <xf numFmtId="0" fontId="59" fillId="0" borderId="45" xfId="0" applyFont="1" applyBorder="1" applyAlignment="1">
      <alignment vertical="top"/>
    </xf>
    <xf numFmtId="0" fontId="60" fillId="0" borderId="45" xfId="0" applyFont="1" applyBorder="1"/>
    <xf numFmtId="0" fontId="60" fillId="0" borderId="46" xfId="0" applyFont="1" applyBorder="1"/>
    <xf numFmtId="0" fontId="23" fillId="0" borderId="47" xfId="0" applyFont="1" applyBorder="1" applyAlignment="1">
      <alignment horizontal="center" vertical="center"/>
    </xf>
    <xf numFmtId="49" fontId="61" fillId="42" borderId="48" xfId="0" applyNumberFormat="1" applyFont="1" applyFill="1" applyBorder="1" applyAlignment="1">
      <alignment horizontal="center" vertical="center" wrapText="1"/>
    </xf>
    <xf numFmtId="0" fontId="76" fillId="0" borderId="47" xfId="0" applyFont="1" applyBorder="1"/>
    <xf numFmtId="166" fontId="59" fillId="0" borderId="48" xfId="0" applyNumberFormat="1" applyFont="1" applyBorder="1"/>
    <xf numFmtId="0" fontId="76" fillId="0" borderId="49" xfId="0" applyFont="1" applyBorder="1"/>
    <xf numFmtId="166" fontId="59" fillId="0" borderId="50" xfId="0" applyNumberFormat="1" applyFont="1" applyBorder="1"/>
    <xf numFmtId="166" fontId="59" fillId="0" borderId="51" xfId="0" applyNumberFormat="1" applyFont="1" applyBorder="1"/>
    <xf numFmtId="0" fontId="0" fillId="0" borderId="0" xfId="0" applyBorder="1" applyAlignment="1" applyProtection="1"/>
    <xf numFmtId="0" fontId="0" fillId="0" borderId="0" xfId="0" applyBorder="1" applyAlignment="1" applyProtection="1"/>
    <xf numFmtId="0" fontId="25" fillId="33" borderId="44" xfId="0" applyNumberFormat="1" applyFont="1" applyFill="1" applyBorder="1" applyAlignment="1" applyProtection="1">
      <alignment horizontal="left" vertical="top" wrapText="1"/>
    </xf>
    <xf numFmtId="0" fontId="25" fillId="33" borderId="45" xfId="0" applyNumberFormat="1" applyFont="1" applyFill="1" applyBorder="1" applyAlignment="1" applyProtection="1">
      <alignment horizontal="left" vertical="top" wrapText="1"/>
    </xf>
    <xf numFmtId="0" fontId="25" fillId="33" borderId="49" xfId="0" applyNumberFormat="1" applyFont="1" applyFill="1" applyBorder="1" applyAlignment="1" applyProtection="1">
      <alignment horizontal="left" vertical="top" wrapText="1"/>
    </xf>
    <xf numFmtId="0" fontId="25" fillId="33" borderId="50" xfId="0" applyNumberFormat="1" applyFont="1" applyFill="1" applyBorder="1" applyAlignment="1" applyProtection="1">
      <alignment horizontal="left" vertical="top" wrapText="1"/>
    </xf>
    <xf numFmtId="0" fontId="25" fillId="33" borderId="46" xfId="0" applyNumberFormat="1" applyFont="1" applyFill="1" applyBorder="1" applyAlignment="1" applyProtection="1">
      <alignment horizontal="left" vertical="top" wrapText="1"/>
    </xf>
    <xf numFmtId="0" fontId="25" fillId="33" borderId="51" xfId="0" applyNumberFormat="1" applyFont="1" applyFill="1" applyBorder="1" applyAlignment="1" applyProtection="1">
      <alignment horizontal="left" vertical="top" wrapText="1"/>
    </xf>
    <xf numFmtId="0" fontId="27" fillId="33" borderId="47" xfId="0" applyNumberFormat="1" applyFont="1" applyFill="1" applyBorder="1" applyAlignment="1" applyProtection="1">
      <alignment horizontal="center" vertical="center"/>
    </xf>
    <xf numFmtId="0" fontId="27" fillId="33" borderId="43" xfId="0" applyNumberFormat="1" applyFont="1" applyFill="1" applyBorder="1" applyAlignment="1" applyProtection="1">
      <alignment horizontal="center" vertical="center"/>
    </xf>
    <xf numFmtId="0" fontId="28" fillId="33" borderId="43" xfId="0" applyNumberFormat="1" applyFont="1" applyFill="1" applyBorder="1" applyAlignment="1" applyProtection="1">
      <alignment horizontal="center" vertical="center"/>
    </xf>
    <xf numFmtId="0" fontId="28" fillId="33" borderId="48" xfId="0" applyNumberFormat="1" applyFont="1" applyFill="1" applyBorder="1" applyAlignment="1" applyProtection="1">
      <alignment horizontal="center" vertical="center"/>
    </xf>
    <xf numFmtId="0" fontId="19" fillId="0" borderId="24" xfId="0" applyNumberFormat="1" applyFont="1" applyFill="1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0" xfId="0" applyAlignment="1" applyProtection="1"/>
    <xf numFmtId="0" fontId="0" fillId="0" borderId="28" xfId="0" applyBorder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0" fontId="26" fillId="33" borderId="29" xfId="0" applyNumberFormat="1" applyFont="1" applyFill="1" applyBorder="1" applyAlignment="1" applyProtection="1">
      <alignment horizontal="left" vertical="top" wrapText="1"/>
    </xf>
    <xf numFmtId="0" fontId="26" fillId="33" borderId="30" xfId="0" applyNumberFormat="1" applyFont="1" applyFill="1" applyBorder="1" applyAlignment="1" applyProtection="1">
      <alignment horizontal="left" vertical="top" wrapText="1"/>
    </xf>
    <xf numFmtId="0" fontId="32" fillId="33" borderId="24" xfId="0" applyNumberFormat="1" applyFont="1" applyFill="1" applyBorder="1" applyAlignment="1" applyProtection="1">
      <alignment horizontal="center" wrapText="1"/>
    </xf>
    <xf numFmtId="0" fontId="32" fillId="33" borderId="25" xfId="0" applyNumberFormat="1" applyFont="1" applyFill="1" applyBorder="1" applyAlignment="1" applyProtection="1">
      <alignment horizontal="center" wrapText="1"/>
    </xf>
    <xf numFmtId="0" fontId="32" fillId="33" borderId="26" xfId="0" applyNumberFormat="1" applyFont="1" applyFill="1" applyBorder="1" applyAlignment="1" applyProtection="1">
      <alignment horizontal="center" wrapText="1"/>
    </xf>
    <xf numFmtId="0" fontId="32" fillId="33" borderId="27" xfId="0" applyNumberFormat="1" applyFont="1" applyFill="1" applyBorder="1" applyAlignment="1" applyProtection="1">
      <alignment horizontal="center"/>
    </xf>
    <xf numFmtId="0" fontId="32" fillId="33" borderId="0" xfId="0" applyNumberFormat="1" applyFont="1" applyFill="1" applyBorder="1" applyAlignment="1" applyProtection="1">
      <alignment horizontal="center"/>
    </xf>
    <xf numFmtId="0" fontId="32" fillId="33" borderId="28" xfId="0" applyNumberFormat="1" applyFont="1" applyFill="1" applyBorder="1" applyAlignment="1" applyProtection="1">
      <alignment horizontal="center"/>
    </xf>
    <xf numFmtId="167" fontId="32" fillId="33" borderId="0" xfId="0" applyNumberFormat="1" applyFont="1" applyFill="1" applyBorder="1" applyAlignment="1" applyProtection="1">
      <alignment horizontal="center"/>
    </xf>
    <xf numFmtId="0" fontId="26" fillId="36" borderId="27" xfId="0" applyNumberFormat="1" applyFont="1" applyFill="1" applyBorder="1" applyAlignment="1" applyProtection="1">
      <alignment horizontal="center"/>
    </xf>
    <xf numFmtId="0" fontId="26" fillId="36" borderId="0" xfId="0" applyNumberFormat="1" applyFont="1" applyFill="1" applyBorder="1" applyAlignment="1" applyProtection="1">
      <alignment horizontal="center"/>
    </xf>
    <xf numFmtId="0" fontId="26" fillId="36" borderId="28" xfId="0" applyNumberFormat="1" applyFont="1" applyFill="1" applyBorder="1" applyAlignment="1" applyProtection="1">
      <alignment horizontal="center"/>
    </xf>
    <xf numFmtId="0" fontId="22" fillId="33" borderId="0" xfId="0" applyNumberFormat="1" applyFont="1" applyFill="1" applyBorder="1" applyAlignment="1" applyProtection="1"/>
    <xf numFmtId="0" fontId="23" fillId="37" borderId="39" xfId="0" applyNumberFormat="1" applyFont="1" applyFill="1" applyBorder="1" applyAlignment="1" applyProtection="1">
      <alignment horizontal="center" vertical="top"/>
    </xf>
    <xf numFmtId="0" fontId="23" fillId="37" borderId="40" xfId="0" applyNumberFormat="1" applyFont="1" applyFill="1" applyBorder="1" applyAlignment="1" applyProtection="1">
      <alignment horizontal="center" vertical="top"/>
    </xf>
    <xf numFmtId="0" fontId="23" fillId="37" borderId="41" xfId="0" applyNumberFormat="1" applyFont="1" applyFill="1" applyBorder="1" applyAlignment="1" applyProtection="1">
      <alignment horizontal="center" vertical="top"/>
    </xf>
    <xf numFmtId="0" fontId="23" fillId="37" borderId="10" xfId="0" applyNumberFormat="1" applyFont="1" applyFill="1" applyBorder="1" applyAlignment="1" applyProtection="1">
      <alignment horizontal="left" vertical="top"/>
    </xf>
    <xf numFmtId="0" fontId="26" fillId="36" borderId="29" xfId="0" applyNumberFormat="1" applyFont="1" applyFill="1" applyBorder="1" applyAlignment="1" applyProtection="1">
      <alignment horizontal="center"/>
    </xf>
    <xf numFmtId="0" fontId="26" fillId="36" borderId="30" xfId="0" applyNumberFormat="1" applyFont="1" applyFill="1" applyBorder="1" applyAlignment="1" applyProtection="1">
      <alignment horizontal="center"/>
    </xf>
    <xf numFmtId="0" fontId="26" fillId="36" borderId="31" xfId="0" applyNumberFormat="1" applyFont="1" applyFill="1" applyBorder="1" applyAlignment="1" applyProtection="1">
      <alignment horizontal="center"/>
    </xf>
    <xf numFmtId="0" fontId="46" fillId="33" borderId="44" xfId="47" applyFont="1" applyFill="1" applyBorder="1" applyAlignment="1">
      <alignment horizontal="center" vertical="top" wrapText="1"/>
    </xf>
    <xf numFmtId="0" fontId="46" fillId="33" borderId="45" xfId="47" applyFont="1" applyFill="1" applyBorder="1" applyAlignment="1">
      <alignment horizontal="center" vertical="top" wrapText="1"/>
    </xf>
    <xf numFmtId="0" fontId="46" fillId="33" borderId="46" xfId="47" applyFont="1" applyFill="1" applyBorder="1" applyAlignment="1">
      <alignment horizontal="center" vertical="top" wrapText="1"/>
    </xf>
    <xf numFmtId="0" fontId="26" fillId="33" borderId="29" xfId="47" applyFont="1" applyFill="1" applyBorder="1" applyAlignment="1">
      <alignment horizontal="left" vertical="top" wrapText="1"/>
    </xf>
    <xf numFmtId="0" fontId="26" fillId="33" borderId="30" xfId="47" applyFont="1" applyFill="1" applyBorder="1" applyAlignment="1">
      <alignment horizontal="left" vertical="top" wrapText="1"/>
    </xf>
    <xf numFmtId="0" fontId="26" fillId="33" borderId="31" xfId="47" applyFont="1" applyFill="1" applyBorder="1" applyAlignment="1">
      <alignment horizontal="left" vertical="top" wrapText="1"/>
    </xf>
    <xf numFmtId="0" fontId="32" fillId="33" borderId="24" xfId="47" applyFont="1" applyFill="1" applyBorder="1" applyAlignment="1">
      <alignment horizontal="center" vertical="center" wrapText="1"/>
    </xf>
    <xf numFmtId="0" fontId="32" fillId="33" borderId="25" xfId="47" applyFont="1" applyFill="1" applyBorder="1" applyAlignment="1">
      <alignment horizontal="center" vertical="center" wrapText="1"/>
    </xf>
    <xf numFmtId="0" fontId="32" fillId="33" borderId="26" xfId="47" applyFont="1" applyFill="1" applyBorder="1" applyAlignment="1">
      <alignment horizontal="center" vertical="center" wrapText="1"/>
    </xf>
    <xf numFmtId="0" fontId="49" fillId="38" borderId="27" xfId="47" applyFont="1" applyFill="1" applyBorder="1" applyAlignment="1">
      <alignment horizontal="center" vertical="center"/>
    </xf>
    <xf numFmtId="0" fontId="49" fillId="38" borderId="0" xfId="47" applyFont="1" applyFill="1" applyBorder="1" applyAlignment="1">
      <alignment horizontal="center" vertical="center"/>
    </xf>
    <xf numFmtId="0" fontId="49" fillId="38" borderId="28" xfId="47" applyFont="1" applyFill="1" applyBorder="1" applyAlignment="1">
      <alignment horizontal="center" vertical="center"/>
    </xf>
    <xf numFmtId="0" fontId="53" fillId="33" borderId="27" xfId="47" applyFont="1" applyFill="1" applyBorder="1" applyAlignment="1">
      <alignment vertical="center"/>
    </xf>
    <xf numFmtId="0" fontId="53" fillId="33" borderId="0" xfId="47" applyFont="1" applyFill="1" applyBorder="1" applyAlignment="1">
      <alignment vertical="center"/>
    </xf>
    <xf numFmtId="0" fontId="36" fillId="39" borderId="32" xfId="47" applyFont="1" applyFill="1" applyBorder="1" applyAlignment="1">
      <alignment horizontal="center" vertical="center"/>
    </xf>
    <xf numFmtId="0" fontId="36" fillId="39" borderId="27" xfId="47" applyFont="1" applyFill="1" applyBorder="1" applyAlignment="1">
      <alignment horizontal="center" vertical="center"/>
    </xf>
    <xf numFmtId="0" fontId="36" fillId="39" borderId="12" xfId="47" applyFont="1" applyFill="1" applyBorder="1" applyAlignment="1">
      <alignment horizontal="center" vertical="center" wrapText="1"/>
    </xf>
    <xf numFmtId="0" fontId="36" fillId="39" borderId="0" xfId="47" applyFont="1" applyFill="1" applyBorder="1" applyAlignment="1">
      <alignment horizontal="center" vertical="center" wrapText="1"/>
    </xf>
    <xf numFmtId="0" fontId="36" fillId="39" borderId="12" xfId="47" applyFont="1" applyFill="1" applyBorder="1" applyAlignment="1">
      <alignment horizontal="center" vertical="center"/>
    </xf>
    <xf numFmtId="0" fontId="36" fillId="39" borderId="13" xfId="47" applyFont="1" applyFill="1" applyBorder="1" applyAlignment="1">
      <alignment horizontal="center" vertical="center"/>
    </xf>
    <xf numFmtId="0" fontId="36" fillId="39" borderId="0" xfId="47" applyFont="1" applyFill="1" applyBorder="1" applyAlignment="1">
      <alignment horizontal="center" vertical="center"/>
    </xf>
    <xf numFmtId="0" fontId="36" fillId="39" borderId="18" xfId="47" applyFont="1" applyFill="1" applyBorder="1" applyAlignment="1">
      <alignment horizontal="center" vertical="center"/>
    </xf>
    <xf numFmtId="0" fontId="55" fillId="39" borderId="17" xfId="47" applyFont="1" applyFill="1" applyBorder="1" applyAlignment="1">
      <alignment horizontal="center" vertical="center" wrapText="1"/>
    </xf>
    <xf numFmtId="0" fontId="55" fillId="39" borderId="0" xfId="47" applyFont="1" applyFill="1" applyBorder="1" applyAlignment="1">
      <alignment horizontal="center" vertical="center" wrapText="1"/>
    </xf>
    <xf numFmtId="0" fontId="55" fillId="39" borderId="28" xfId="47" applyFont="1" applyFill="1" applyBorder="1" applyAlignment="1">
      <alignment horizontal="center" vertical="center" wrapText="1"/>
    </xf>
    <xf numFmtId="0" fontId="48" fillId="0" borderId="24" xfId="47" applyFont="1" applyBorder="1" applyAlignment="1">
      <alignment horizontal="right" vertical="center"/>
    </xf>
    <xf numFmtId="0" fontId="0" fillId="0" borderId="0" xfId="0" applyBorder="1" applyAlignment="1" applyProtection="1"/>
    <xf numFmtId="169" fontId="23" fillId="33" borderId="15" xfId="47" applyNumberFormat="1" applyFont="1" applyFill="1" applyBorder="1" applyAlignment="1">
      <alignment horizontal="center" vertical="center"/>
    </xf>
    <xf numFmtId="169" fontId="23" fillId="33" borderId="16" xfId="47" applyNumberFormat="1" applyFont="1" applyFill="1" applyBorder="1" applyAlignment="1">
      <alignment horizontal="center" vertical="center"/>
    </xf>
    <xf numFmtId="0" fontId="55" fillId="39" borderId="27" xfId="47" applyFont="1" applyFill="1" applyBorder="1" applyAlignment="1">
      <alignment horizontal="center" vertical="center"/>
    </xf>
    <xf numFmtId="0" fontId="55" fillId="39" borderId="0" xfId="47" applyFont="1" applyFill="1" applyBorder="1" applyAlignment="1">
      <alignment horizontal="center" vertical="center"/>
    </xf>
    <xf numFmtId="0" fontId="55" fillId="39" borderId="18" xfId="47" applyFont="1" applyFill="1" applyBorder="1" applyAlignment="1">
      <alignment horizontal="center" vertical="center"/>
    </xf>
    <xf numFmtId="0" fontId="49" fillId="38" borderId="29" xfId="47" applyFont="1" applyFill="1" applyBorder="1" applyAlignment="1">
      <alignment horizontal="center" vertical="center"/>
    </xf>
    <xf numFmtId="0" fontId="49" fillId="38" borderId="30" xfId="47" applyFont="1" applyFill="1" applyBorder="1" applyAlignment="1">
      <alignment horizontal="center" vertical="center"/>
    </xf>
    <xf numFmtId="0" fontId="49" fillId="38" borderId="31" xfId="47" applyFont="1" applyFill="1" applyBorder="1" applyAlignment="1">
      <alignment horizontal="center" vertical="center"/>
    </xf>
    <xf numFmtId="0" fontId="23" fillId="37" borderId="39" xfId="47" applyFont="1" applyFill="1" applyBorder="1" applyAlignment="1">
      <alignment horizontal="center" vertical="top"/>
    </xf>
    <xf numFmtId="0" fontId="23" fillId="37" borderId="40" xfId="47" applyFont="1" applyFill="1" applyBorder="1" applyAlignment="1">
      <alignment horizontal="center" vertical="top"/>
    </xf>
    <xf numFmtId="0" fontId="23" fillId="37" borderId="41" xfId="47" applyFont="1" applyFill="1" applyBorder="1" applyAlignment="1">
      <alignment horizontal="center" vertical="top"/>
    </xf>
    <xf numFmtId="0" fontId="22" fillId="33" borderId="29" xfId="0" applyFont="1" applyFill="1" applyBorder="1" applyAlignment="1">
      <alignment horizontal="center" vertical="top" wrapText="1"/>
    </xf>
    <xf numFmtId="0" fontId="22" fillId="33" borderId="30" xfId="0" applyFont="1" applyFill="1" applyBorder="1" applyAlignment="1">
      <alignment horizontal="center" vertical="top" wrapText="1"/>
    </xf>
    <xf numFmtId="0" fontId="22" fillId="33" borderId="31" xfId="0" applyFont="1" applyFill="1" applyBorder="1" applyAlignment="1">
      <alignment horizontal="center" vertical="top" wrapText="1"/>
    </xf>
    <xf numFmtId="0" fontId="32" fillId="33" borderId="24" xfId="0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49" fillId="38" borderId="27" xfId="0" applyFont="1" applyFill="1" applyBorder="1" applyAlignment="1">
      <alignment horizontal="center" vertical="center"/>
    </xf>
    <xf numFmtId="0" fontId="49" fillId="38" borderId="0" xfId="0" applyFont="1" applyFill="1" applyBorder="1" applyAlignment="1">
      <alignment horizontal="center" vertical="center"/>
    </xf>
    <xf numFmtId="0" fontId="49" fillId="38" borderId="28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49" fillId="38" borderId="29" xfId="0" applyFont="1" applyFill="1" applyBorder="1" applyAlignment="1">
      <alignment horizontal="center" vertical="center"/>
    </xf>
    <xf numFmtId="0" fontId="49" fillId="38" borderId="30" xfId="0" applyFont="1" applyFill="1" applyBorder="1" applyAlignment="1">
      <alignment horizontal="center" vertical="center"/>
    </xf>
    <xf numFmtId="0" fontId="49" fillId="38" borderId="31" xfId="0" applyFont="1" applyFill="1" applyBorder="1" applyAlignment="1">
      <alignment horizontal="center" vertical="center"/>
    </xf>
    <xf numFmtId="0" fontId="35" fillId="37" borderId="39" xfId="0" applyFont="1" applyFill="1" applyBorder="1" applyAlignment="1">
      <alignment horizontal="center" vertical="center"/>
    </xf>
    <xf numFmtId="0" fontId="35" fillId="37" borderId="40" xfId="0" applyFont="1" applyFill="1" applyBorder="1" applyAlignment="1">
      <alignment horizontal="center" vertical="center"/>
    </xf>
    <xf numFmtId="0" fontId="35" fillId="37" borderId="4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3" fillId="33" borderId="26" xfId="0" applyFont="1" applyFill="1" applyBorder="1" applyAlignment="1">
      <alignment horizontal="center" wrapText="1"/>
    </xf>
    <xf numFmtId="0" fontId="49" fillId="38" borderId="27" xfId="0" applyFont="1" applyFill="1" applyBorder="1" applyAlignment="1">
      <alignment vertical="center"/>
    </xf>
    <xf numFmtId="0" fontId="49" fillId="38" borderId="0" xfId="0" applyFont="1" applyFill="1" applyBorder="1" applyAlignment="1">
      <alignment vertical="center"/>
    </xf>
    <xf numFmtId="0" fontId="49" fillId="38" borderId="28" xfId="0" applyFont="1" applyFill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right" vertical="center"/>
    </xf>
    <xf numFmtId="0" fontId="55" fillId="38" borderId="27" xfId="0" applyFont="1" applyFill="1" applyBorder="1" applyAlignment="1">
      <alignment horizontal="left" vertical="center"/>
    </xf>
    <xf numFmtId="0" fontId="55" fillId="38" borderId="0" xfId="0" applyFont="1" applyFill="1" applyBorder="1" applyAlignment="1">
      <alignment horizontal="left" vertical="center"/>
    </xf>
    <xf numFmtId="173" fontId="22" fillId="33" borderId="0" xfId="0" applyNumberFormat="1" applyFont="1" applyFill="1" applyBorder="1" applyAlignment="1">
      <alignment horizontal="right" vertical="top"/>
    </xf>
    <xf numFmtId="0" fontId="23" fillId="37" borderId="39" xfId="0" applyFont="1" applyFill="1" applyBorder="1" applyAlignment="1">
      <alignment horizontal="center" vertical="top"/>
    </xf>
    <xf numFmtId="0" fontId="23" fillId="37" borderId="40" xfId="0" applyFont="1" applyFill="1" applyBorder="1" applyAlignment="1">
      <alignment horizontal="center" vertical="top"/>
    </xf>
    <xf numFmtId="0" fontId="23" fillId="37" borderId="41" xfId="0" applyFont="1" applyFill="1" applyBorder="1" applyAlignment="1">
      <alignment horizontal="center" vertical="top"/>
    </xf>
    <xf numFmtId="0" fontId="26" fillId="33" borderId="39" xfId="0" applyFont="1" applyFill="1" applyBorder="1" applyAlignment="1">
      <alignment horizontal="left" vertical="top"/>
    </xf>
    <xf numFmtId="0" fontId="26" fillId="33" borderId="40" xfId="0" applyFont="1" applyFill="1" applyBorder="1" applyAlignment="1">
      <alignment horizontal="left" vertical="top"/>
    </xf>
    <xf numFmtId="0" fontId="26" fillId="33" borderId="41" xfId="0" applyFont="1" applyFill="1" applyBorder="1" applyAlignment="1">
      <alignment horizontal="left" vertical="top"/>
    </xf>
    <xf numFmtId="0" fontId="55" fillId="38" borderId="28" xfId="0" applyFont="1" applyFill="1" applyBorder="1" applyAlignment="1">
      <alignment horizontal="left" vertical="center"/>
    </xf>
    <xf numFmtId="0" fontId="51" fillId="41" borderId="0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71" fillId="37" borderId="28" xfId="0" applyFont="1" applyFill="1" applyBorder="1" applyAlignment="1">
      <alignment horizontal="center" vertical="center"/>
    </xf>
    <xf numFmtId="0" fontId="49" fillId="38" borderId="29" xfId="0" applyFont="1" applyFill="1" applyBorder="1" applyAlignment="1">
      <alignment vertical="center"/>
    </xf>
    <xf numFmtId="0" fontId="49" fillId="38" borderId="30" xfId="0" applyFont="1" applyFill="1" applyBorder="1" applyAlignment="1">
      <alignment vertical="center"/>
    </xf>
    <xf numFmtId="0" fontId="49" fillId="38" borderId="31" xfId="0" applyFont="1" applyFill="1" applyBorder="1" applyAlignment="1">
      <alignment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29" builtinId="6" customBuiltin="1"/>
    <cellStyle name="Currency" xfId="30" builtinId="4" customBuiltin="1"/>
    <cellStyle name="Currency [0]" xfId="31" builtinId="7" customBuiltin="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 customBuiltin="1"/>
    <cellStyle name="Normal 2" xfId="47" xr:uid="{AB1915AC-A3A3-42EC-9259-CCA1E2199217}"/>
    <cellStyle name="Note" xfId="41" builtinId="10" customBuiltin="1"/>
    <cellStyle name="Output" xfId="42" builtinId="21" customBuiltin="1"/>
    <cellStyle name="Percent" xfId="43" builtinId="5" customBuiltin="1"/>
    <cellStyle name="Title" xfId="44" builtinId="15" customBuiltin="1"/>
    <cellStyle name="Total" xfId="45" builtinId="25" customBuiltin="1"/>
    <cellStyle name="Warning Text" xfId="46" builtinId="11" customBuiltin="1"/>
  </cellStyles>
  <dxfs count="4">
    <dxf>
      <font>
        <b val="0"/>
        <i val="0"/>
        <color rgb="FF8B0000"/>
        <name val="Arial"/>
      </font>
      <fill>
        <patternFill patternType="none"/>
      </fill>
      <border>
        <left/>
        <right/>
        <top/>
        <bottom/>
      </border>
    </dxf>
    <dxf>
      <font>
        <b val="0"/>
        <i val="0"/>
        <color rgb="FF8B0000"/>
        <name val="Arial"/>
      </font>
      <fill>
        <patternFill patternType="none"/>
      </fill>
      <border>
        <left/>
        <right/>
        <top/>
        <bottom/>
      </border>
    </dxf>
    <dxf>
      <font>
        <b val="0"/>
        <i val="0"/>
        <sz val="11"/>
        <color rgb="FF8B0000"/>
        <name val="Arial"/>
      </font>
    </dxf>
    <dxf>
      <font>
        <b val="0"/>
        <i val="0"/>
        <color rgb="FF8B0000"/>
        <name val="Arial"/>
      </font>
      <fill>
        <patternFill patternType="none"/>
      </fill>
      <border>
        <left/>
        <right/>
        <top/>
        <bottom/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'Expense Account Analysis'!$C$14</c:f>
              <c:strCache>
                <c:ptCount val="1"/>
                <c:pt idx="0">
                  <c:v>This Year</c:v>
                </c:pt>
              </c:strCache>
            </c:strRef>
          </c:tx>
          <c:spPr>
            <a:solidFill>
              <a:srgbClr val="396AB1"/>
            </a:solidFill>
            <a:ln w="0">
              <a:solidFill>
                <a:srgbClr val="396AB1"/>
              </a:solidFill>
            </a:ln>
            <a:effectLst/>
          </c:spPr>
          <c:invertIfNegative val="0"/>
          <c:cat>
            <c:strRef>
              <c:f>'Expense Account Analysis'!$B$15:$B$24</c:f>
              <c:strCache>
                <c:ptCount val="10"/>
                <c:pt idx="0">
                  <c:v> Insurance Expense</c:v>
                </c:pt>
                <c:pt idx="1">
                  <c:v> Utilities</c:v>
                </c:pt>
                <c:pt idx="2">
                  <c:v> TV Advertising</c:v>
                </c:pt>
                <c:pt idx="3">
                  <c:v> Janitorial Expense</c:v>
                </c:pt>
                <c:pt idx="4">
                  <c:v> Landscaping</c:v>
                </c:pt>
                <c:pt idx="5">
                  <c:v> Utilities</c:v>
                </c:pt>
                <c:pt idx="6">
                  <c:v> Internet &amp; Cable</c:v>
                </c:pt>
                <c:pt idx="7">
                  <c:v> Rent/Lease</c:v>
                </c:pt>
                <c:pt idx="8">
                  <c:v> 68100 Telephone Expense</c:v>
                </c:pt>
                <c:pt idx="9">
                  <c:v> Internet &amp; Cable</c:v>
                </c:pt>
              </c:strCache>
            </c:strRef>
          </c:cat>
          <c:val>
            <c:numRef>
              <c:f>'Expense Account Analysis'!$C$15:$C$24</c:f>
              <c:numCache>
                <c:formatCode>\$#,##0</c:formatCode>
                <c:ptCount val="10"/>
                <c:pt idx="0">
                  <c:v>234000</c:v>
                </c:pt>
                <c:pt idx="1">
                  <c:v>80829.649999999994</c:v>
                </c:pt>
                <c:pt idx="2">
                  <c:v>79500</c:v>
                </c:pt>
                <c:pt idx="3">
                  <c:v>52500</c:v>
                </c:pt>
                <c:pt idx="4">
                  <c:v>26500</c:v>
                </c:pt>
                <c:pt idx="5">
                  <c:v>24000</c:v>
                </c:pt>
                <c:pt idx="6">
                  <c:v>20000</c:v>
                </c:pt>
                <c:pt idx="7">
                  <c:v>13020</c:v>
                </c:pt>
                <c:pt idx="8">
                  <c:v>10000</c:v>
                </c:pt>
                <c:pt idx="9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B-427F-A091-6AAEDC9594C1}"/>
            </c:ext>
          </c:extLst>
        </c:ser>
        <c:ser>
          <c:idx val="1"/>
          <c:order val="1"/>
          <c:tx>
            <c:strRef>
              <c:f>'Expense Account Analysis'!$D$14</c:f>
              <c:strCache>
                <c:ptCount val="1"/>
                <c:pt idx="0">
                  <c:v>Same Period 
Last Year</c:v>
                </c:pt>
              </c:strCache>
            </c:strRef>
          </c:tx>
          <c:spPr>
            <a:solidFill>
              <a:srgbClr val="A5A5A5">
                <a:shade val="65000"/>
              </a:srgbClr>
            </a:solidFill>
            <a:ln w="0">
              <a:solidFill>
                <a:srgbClr val="BFBFBF"/>
              </a:solidFill>
            </a:ln>
            <a:effectLst/>
          </c:spPr>
          <c:invertIfNegative val="0"/>
          <c:cat>
            <c:strRef>
              <c:f>'Expense Account Analysis'!$B$15:$B$24</c:f>
              <c:strCache>
                <c:ptCount val="10"/>
                <c:pt idx="0">
                  <c:v> Insurance Expense</c:v>
                </c:pt>
                <c:pt idx="1">
                  <c:v> Utilities</c:v>
                </c:pt>
                <c:pt idx="2">
                  <c:v> TV Advertising</c:v>
                </c:pt>
                <c:pt idx="3">
                  <c:v> Janitorial Expense</c:v>
                </c:pt>
                <c:pt idx="4">
                  <c:v> Landscaping</c:v>
                </c:pt>
                <c:pt idx="5">
                  <c:v> Utilities</c:v>
                </c:pt>
                <c:pt idx="6">
                  <c:v> Internet &amp; Cable</c:v>
                </c:pt>
                <c:pt idx="7">
                  <c:v> Rent/Lease</c:v>
                </c:pt>
                <c:pt idx="8">
                  <c:v> 68100 Telephone Expense</c:v>
                </c:pt>
                <c:pt idx="9">
                  <c:v> Internet &amp; Cable</c:v>
                </c:pt>
              </c:strCache>
            </c:strRef>
          </c:cat>
          <c:val>
            <c:numRef>
              <c:f>'Expense Account Analysis'!$D$15:$D$24</c:f>
              <c:numCache>
                <c:formatCode>\$#,##0</c:formatCode>
                <c:ptCount val="10"/>
                <c:pt idx="0">
                  <c:v>108000</c:v>
                </c:pt>
                <c:pt idx="1">
                  <c:v>77000</c:v>
                </c:pt>
                <c:pt idx="2">
                  <c:v>36000</c:v>
                </c:pt>
                <c:pt idx="3">
                  <c:v>24000</c:v>
                </c:pt>
                <c:pt idx="4">
                  <c:v>12000</c:v>
                </c:pt>
                <c:pt idx="5">
                  <c:v>24000</c:v>
                </c:pt>
                <c:pt idx="6">
                  <c:v>10000</c:v>
                </c:pt>
                <c:pt idx="7">
                  <c:v>12000</c:v>
                </c:pt>
                <c:pt idx="8">
                  <c:v>9000</c:v>
                </c:pt>
                <c:pt idx="9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0B-427F-A091-6AAEDC959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6164313"/>
        <c:axId val="31227530"/>
      </c:barChart>
      <c:catAx>
        <c:axId val="9616431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525">
            <a:solidFill>
              <a:schemeClr val="tx1">
                <a:tint val="1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227530"/>
        <c:crosses val="autoZero"/>
        <c:auto val="1"/>
        <c:lblAlgn val="ctr"/>
        <c:lblOffset val="0"/>
        <c:tickMarkSkip val="1"/>
        <c:noMultiLvlLbl val="1"/>
      </c:catAx>
      <c:valAx>
        <c:axId val="31227530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tint val="15000"/>
                </a:schemeClr>
              </a:solidFill>
            </a:ln>
            <a:effectLst/>
          </c:spPr>
        </c:majorGridlines>
        <c:numFmt formatCode="\$#,##0" sourceLinked="0"/>
        <c:majorTickMark val="none"/>
        <c:minorTickMark val="none"/>
        <c:tickLblPos val="nextTo"/>
        <c:spPr>
          <a:ln w="9525">
            <a:solidFill>
              <a:schemeClr val="bg1">
                <a:shade val="75000"/>
                <a:tint val="1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99" b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16431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rgbClr val="000000"/>
          </a:solidFill>
        </a:ln>
        <a:effectLst/>
      </c:spPr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800" b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r>
              <a:rPr lang="en-US" sz="1800" b="0">
                <a:solidFill>
                  <a:srgbClr val="595959"/>
                </a:solidFill>
                <a:latin typeface="Arial"/>
                <a:ea typeface="Arial"/>
                <a:cs typeface="Arial"/>
              </a:rPr>
              <a:t>Total Income w/ Variance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Analysis YOY but Month'!$B$9</c:f>
              <c:strCache>
                <c:ptCount val="1"/>
                <c:pt idx="0">
                  <c:v>This Year Income</c:v>
                </c:pt>
              </c:strCache>
            </c:strRef>
          </c:tx>
          <c:spPr>
            <a:solidFill>
              <a:srgbClr val="4472C4"/>
            </a:solidFill>
            <a:ln w="0">
              <a:solidFill>
                <a:srgbClr val="000000"/>
              </a:solidFill>
            </a:ln>
            <a:effectLst/>
          </c:spPr>
          <c:invertIfNegative val="0"/>
          <c:cat>
            <c:strRef>
              <c:f>'Income Analysis YOY but Month'!$C$7:$N$7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Month'!$C$9:$N$9</c:f>
              <c:numCache>
                <c:formatCode>#,##0</c:formatCode>
                <c:ptCount val="12"/>
                <c:pt idx="0">
                  <c:v>810262</c:v>
                </c:pt>
                <c:pt idx="1">
                  <c:v>832227</c:v>
                </c:pt>
                <c:pt idx="2">
                  <c:v>833602.19</c:v>
                </c:pt>
                <c:pt idx="3">
                  <c:v>826830</c:v>
                </c:pt>
                <c:pt idx="4">
                  <c:v>808872</c:v>
                </c:pt>
                <c:pt idx="5">
                  <c:v>660600</c:v>
                </c:pt>
                <c:pt idx="6">
                  <c:v>664310</c:v>
                </c:pt>
                <c:pt idx="7">
                  <c:v>660600</c:v>
                </c:pt>
                <c:pt idx="8">
                  <c:v>658771</c:v>
                </c:pt>
                <c:pt idx="9">
                  <c:v>660600</c:v>
                </c:pt>
                <c:pt idx="10">
                  <c:v>660600</c:v>
                </c:pt>
                <c:pt idx="11">
                  <c:v>660600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6-4F2B-996C-83283DC6C4D2}"/>
            </c:ext>
          </c:extLst>
        </c:ser>
        <c:ser>
          <c:idx val="1"/>
          <c:order val="1"/>
          <c:tx>
            <c:strRef>
              <c:f>'Income Analysis YOY but Month'!$B$8</c:f>
              <c:strCache>
                <c:ptCount val="1"/>
                <c:pt idx="0">
                  <c:v>Last Year Income</c:v>
                </c:pt>
              </c:strCache>
            </c:strRef>
          </c:tx>
          <c:spPr>
            <a:solidFill>
              <a:srgbClr val="D8D8D8"/>
            </a:solidFill>
            <a:ln w="0">
              <a:solidFill>
                <a:srgbClr val="000000"/>
              </a:solidFill>
            </a:ln>
            <a:effectLst/>
          </c:spPr>
          <c:invertIfNegative val="0"/>
          <c:cat>
            <c:strRef>
              <c:f>'Income Analysis YOY but Month'!$C$7:$N$7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Month'!$C$8:$N$8</c:f>
              <c:numCache>
                <c:formatCode>#,##0</c:formatCode>
                <c:ptCount val="12"/>
                <c:pt idx="0">
                  <c:v>330300</c:v>
                </c:pt>
                <c:pt idx="1">
                  <c:v>330300</c:v>
                </c:pt>
                <c:pt idx="2">
                  <c:v>330300</c:v>
                </c:pt>
                <c:pt idx="3">
                  <c:v>330300</c:v>
                </c:pt>
                <c:pt idx="4">
                  <c:v>330300</c:v>
                </c:pt>
                <c:pt idx="5">
                  <c:v>330300</c:v>
                </c:pt>
                <c:pt idx="6">
                  <c:v>330300</c:v>
                </c:pt>
                <c:pt idx="7">
                  <c:v>330300</c:v>
                </c:pt>
                <c:pt idx="8">
                  <c:v>330300</c:v>
                </c:pt>
                <c:pt idx="9">
                  <c:v>330300</c:v>
                </c:pt>
                <c:pt idx="10">
                  <c:v>330300</c:v>
                </c:pt>
                <c:pt idx="11">
                  <c:v>330300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6-4F2B-996C-83283DC6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7964359"/>
        <c:axId val="74429177"/>
      </c:barChart>
      <c:lineChart>
        <c:grouping val="standard"/>
        <c:varyColors val="0"/>
        <c:ser>
          <c:idx val="2"/>
          <c:order val="2"/>
          <c:tx>
            <c:strRef>
              <c:f>'Income Analysis YOY but Month'!$B$10</c:f>
              <c:strCache>
                <c:ptCount val="1"/>
                <c:pt idx="0">
                  <c:v>Variance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strRef>
              <c:f>'Income Analysis YOY but Month'!$C$7:$N$7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Month'!$C$10:$N$10</c:f>
              <c:numCache>
                <c:formatCode>\ #,##0;\ \(#,##0\);\ "-"??;@</c:formatCode>
                <c:ptCount val="12"/>
                <c:pt idx="0">
                  <c:v>479962</c:v>
                </c:pt>
                <c:pt idx="1">
                  <c:v>501927</c:v>
                </c:pt>
                <c:pt idx="2">
                  <c:v>503302.18999999994</c:v>
                </c:pt>
                <c:pt idx="3">
                  <c:v>496530</c:v>
                </c:pt>
                <c:pt idx="4">
                  <c:v>478572</c:v>
                </c:pt>
                <c:pt idx="5">
                  <c:v>330300</c:v>
                </c:pt>
                <c:pt idx="6">
                  <c:v>334010</c:v>
                </c:pt>
                <c:pt idx="7">
                  <c:v>330300</c:v>
                </c:pt>
                <c:pt idx="8">
                  <c:v>328471</c:v>
                </c:pt>
                <c:pt idx="9">
                  <c:v>330300</c:v>
                </c:pt>
                <c:pt idx="10">
                  <c:v>330300</c:v>
                </c:pt>
                <c:pt idx="11">
                  <c:v>330300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6-4F2B-996C-83283DC6C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5344"/>
        <c:axId val="24443018"/>
      </c:lineChart>
      <c:catAx>
        <c:axId val="97964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29177"/>
        <c:crosses val="autoZero"/>
        <c:auto val="1"/>
        <c:lblAlgn val="ctr"/>
        <c:lblOffset val="0"/>
        <c:tickMarkSkip val="1"/>
        <c:noMultiLvlLbl val="1"/>
      </c:catAx>
      <c:valAx>
        <c:axId val="7442917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64359"/>
        <c:crosses val="autoZero"/>
        <c:crossBetween val="between"/>
      </c:valAx>
      <c:valAx>
        <c:axId val="24443018"/>
        <c:scaling>
          <c:orientation val="minMax"/>
        </c:scaling>
        <c:delete val="0"/>
        <c:axPos val="r"/>
        <c:numFmt formatCode="\ #,##0;\ \(#,##0\);\ &quot;-&quot;??;@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5344"/>
        <c:crosses val="max"/>
        <c:crossBetween val="between"/>
      </c:valAx>
      <c:catAx>
        <c:axId val="34805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443018"/>
        <c:crosses val="autoZero"/>
        <c:auto val="1"/>
        <c:lblAlgn val="ctr"/>
        <c:lblOffset val="0"/>
        <c:tickMarkSkip val="1"/>
        <c:noMultiLvlLbl val="1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rgbClr val="000000"/>
          </a:solidFill>
        </a:ln>
        <a:effectLst/>
      </c:spPr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/>
          <a:lstStyle/>
          <a:p>
            <a:pPr>
              <a:defRPr sz="1800" b="0">
                <a:solidFill>
                  <a:srgbClr val="595959"/>
                </a:solidFill>
                <a:latin typeface="Arial"/>
                <a:ea typeface="Arial"/>
                <a:cs typeface="Arial"/>
              </a:defRPr>
            </a:pPr>
            <a:r>
              <a:rPr lang="en-US" sz="1800" b="0">
                <a:solidFill>
                  <a:srgbClr val="595959"/>
                </a:solidFill>
                <a:latin typeface="Arial"/>
                <a:ea typeface="Arial"/>
                <a:cs typeface="Arial"/>
              </a:rPr>
              <a:t>Net Income w/ Variance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'Income Analysis YOY but Month'!$B$32</c:f>
              <c:strCache>
                <c:ptCount val="1"/>
                <c:pt idx="0">
                  <c:v>This Year Net Income</c:v>
                </c:pt>
              </c:strCache>
            </c:strRef>
          </c:tx>
          <c:spPr>
            <a:solidFill>
              <a:srgbClr val="578336"/>
            </a:solidFill>
            <a:ln w="0">
              <a:solidFill>
                <a:srgbClr val="000000"/>
              </a:solidFill>
            </a:ln>
            <a:effectLst/>
          </c:spPr>
          <c:invertIfNegative val="0"/>
          <c:cat>
            <c:strRef>
              <c:f>'Income Analysis YOY but Month'!$C$30:$N$30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Month'!$C$32:$N$32</c:f>
              <c:numCache>
                <c:formatCode>#,##0</c:formatCode>
                <c:ptCount val="12"/>
                <c:pt idx="0">
                  <c:v>240642.4</c:v>
                </c:pt>
                <c:pt idx="1">
                  <c:v>264248.40000000002</c:v>
                </c:pt>
                <c:pt idx="2">
                  <c:v>265722.84999999998</c:v>
                </c:pt>
                <c:pt idx="3">
                  <c:v>257279.57</c:v>
                </c:pt>
                <c:pt idx="4">
                  <c:v>249742.07999999999</c:v>
                </c:pt>
                <c:pt idx="5">
                  <c:v>207232.41</c:v>
                </c:pt>
                <c:pt idx="6">
                  <c:v>214087.12</c:v>
                </c:pt>
                <c:pt idx="7">
                  <c:v>176877.12</c:v>
                </c:pt>
                <c:pt idx="8">
                  <c:v>208548.12</c:v>
                </c:pt>
                <c:pt idx="9">
                  <c:v>196877.12</c:v>
                </c:pt>
                <c:pt idx="10">
                  <c:v>210377.12</c:v>
                </c:pt>
                <c:pt idx="11">
                  <c:v>198677.12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0-435B-829B-FD26DDE1503E}"/>
            </c:ext>
          </c:extLst>
        </c:ser>
        <c:ser>
          <c:idx val="1"/>
          <c:order val="1"/>
          <c:tx>
            <c:strRef>
              <c:f>'Income Analysis YOY but Month'!$B$31</c:f>
              <c:strCache>
                <c:ptCount val="1"/>
                <c:pt idx="0">
                  <c:v>Last Year Net Income</c:v>
                </c:pt>
              </c:strCache>
            </c:strRef>
          </c:tx>
          <c:spPr>
            <a:solidFill>
              <a:srgbClr val="D8D8D8"/>
            </a:solidFill>
            <a:ln w="0">
              <a:solidFill>
                <a:srgbClr val="000000"/>
              </a:solidFill>
            </a:ln>
            <a:effectLst/>
          </c:spPr>
          <c:invertIfNegative val="0"/>
          <c:cat>
            <c:strRef>
              <c:f>'Income Analysis YOY but Month'!$C$30:$N$30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Month'!$C$31:$N$31</c:f>
              <c:numCache>
                <c:formatCode>#,##0</c:formatCode>
                <c:ptCount val="12"/>
                <c:pt idx="0">
                  <c:v>206994.28</c:v>
                </c:pt>
                <c:pt idx="1">
                  <c:v>206994.28</c:v>
                </c:pt>
                <c:pt idx="2">
                  <c:v>206994.28</c:v>
                </c:pt>
                <c:pt idx="3">
                  <c:v>206994.28</c:v>
                </c:pt>
                <c:pt idx="4">
                  <c:v>206994.28</c:v>
                </c:pt>
                <c:pt idx="5">
                  <c:v>206994.28</c:v>
                </c:pt>
                <c:pt idx="6">
                  <c:v>206994.28</c:v>
                </c:pt>
                <c:pt idx="7">
                  <c:v>206994.28</c:v>
                </c:pt>
                <c:pt idx="8">
                  <c:v>206994.28</c:v>
                </c:pt>
                <c:pt idx="9">
                  <c:v>206994.28</c:v>
                </c:pt>
                <c:pt idx="10">
                  <c:v>206994.28</c:v>
                </c:pt>
                <c:pt idx="11">
                  <c:v>206994.28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70-435B-829B-FD26DDE15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97964359"/>
        <c:axId val="74429177"/>
      </c:barChart>
      <c:lineChart>
        <c:grouping val="standard"/>
        <c:varyColors val="0"/>
        <c:ser>
          <c:idx val="2"/>
          <c:order val="2"/>
          <c:tx>
            <c:strRef>
              <c:f>'Income Analysis YOY but Month'!$B$33</c:f>
              <c:strCache>
                <c:ptCount val="1"/>
                <c:pt idx="0">
                  <c:v>Variance</c:v>
                </c:pt>
              </c:strCache>
            </c:strRef>
          </c:tx>
          <c:spPr>
            <a:ln w="9525">
              <a:solidFill>
                <a:srgbClr val="FF0000"/>
              </a:solidFill>
            </a:ln>
            <a:effectLst/>
          </c:spPr>
          <c:marker>
            <c:symbol val="none"/>
          </c:marker>
          <c:cat>
            <c:strRef>
              <c:f>'Income Analysis YOY but Month'!$C$30:$N$30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'Income Analysis YOY but Month'!$C$33:$N$33</c:f>
              <c:numCache>
                <c:formatCode>\ #,##0;\ \(#,##0\);\ "-"??;@</c:formatCode>
                <c:ptCount val="12"/>
                <c:pt idx="0">
                  <c:v>33648.119999999995</c:v>
                </c:pt>
                <c:pt idx="1">
                  <c:v>57254.120000000024</c:v>
                </c:pt>
                <c:pt idx="2">
                  <c:v>58728.569999999978</c:v>
                </c:pt>
                <c:pt idx="3">
                  <c:v>50285.290000000008</c:v>
                </c:pt>
                <c:pt idx="4">
                  <c:v>42747.799999999988</c:v>
                </c:pt>
                <c:pt idx="5">
                  <c:v>238.13000000000466</c:v>
                </c:pt>
                <c:pt idx="6">
                  <c:v>7092.8399999999965</c:v>
                </c:pt>
                <c:pt idx="7">
                  <c:v>-30117.160000000003</c:v>
                </c:pt>
                <c:pt idx="8">
                  <c:v>1553.8399999999965</c:v>
                </c:pt>
                <c:pt idx="9">
                  <c:v>-10117.160000000003</c:v>
                </c:pt>
                <c:pt idx="10">
                  <c:v>3382.8399999999965</c:v>
                </c:pt>
                <c:pt idx="11">
                  <c:v>-8317.1600000000035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70-435B-829B-FD26DDE15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05344"/>
        <c:axId val="24443018"/>
      </c:lineChart>
      <c:catAx>
        <c:axId val="97964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429177"/>
        <c:crosses val="autoZero"/>
        <c:auto val="1"/>
        <c:lblAlgn val="ctr"/>
        <c:lblOffset val="0"/>
        <c:tickMarkSkip val="1"/>
        <c:noMultiLvlLbl val="1"/>
      </c:catAx>
      <c:valAx>
        <c:axId val="74429177"/>
        <c:scaling>
          <c:orientation val="minMax"/>
        </c:scaling>
        <c:delete val="0"/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64359"/>
        <c:crosses val="autoZero"/>
        <c:crossBetween val="between"/>
      </c:valAx>
      <c:valAx>
        <c:axId val="24443018"/>
        <c:scaling>
          <c:orientation val="minMax"/>
        </c:scaling>
        <c:delete val="0"/>
        <c:axPos val="r"/>
        <c:numFmt formatCode="\ #,##0;\ \(#,##0\);\ &quot;-&quot;??;@" sourceLinked="1"/>
        <c:majorTickMark val="none"/>
        <c:minorTickMark val="none"/>
        <c:tickLblPos val="nextTo"/>
        <c:spPr>
          <a:ln>
            <a:noFill/>
          </a:ln>
          <a:effectLst/>
        </c:spPr>
        <c:txPr>
          <a:bodyPr rot="-60000000" rtlCol="0"/>
          <a:lstStyle/>
          <a:p>
            <a:pPr>
              <a:defRPr sz="900" b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5344"/>
        <c:crosses val="max"/>
        <c:crossBetween val="between"/>
      </c:valAx>
      <c:catAx>
        <c:axId val="34805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443018"/>
        <c:crosses val="autoZero"/>
        <c:auto val="1"/>
        <c:lblAlgn val="ctr"/>
        <c:lblOffset val="0"/>
        <c:tickMarkSkip val="1"/>
        <c:noMultiLvlLbl val="1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rgbClr val="000000"/>
          </a:solidFill>
        </a:ln>
        <a:effectLst/>
      </c:spPr>
      <c:txPr>
        <a:bodyPr rtlCol="0"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>
      <a:solidFill>
        <a:schemeClr val="tx1">
          <a:lumMod val="15000"/>
          <a:lumOff val="85000"/>
        </a:schemeClr>
      </a:solidFill>
    </a:ln>
    <a:effectLst/>
  </c:spPr>
  <c:txPr>
    <a:bodyPr rtlCol="0"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qvincisupport.as.me/Customer-Success-V2-Migration?field:6538690=%3CV2-Migration%3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qvinci.com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qvincisupport.as.me/Customer-Success-V2-Migration?field:6538690=%3CV2-Migration%3E" TargetMode="Externa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qvinci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qvincisupport.as.me/Customer-Success-V2-Migration?field:6538690=%3CV2-Migration%3E" TargetMode="Externa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1.png"/><Relationship Id="rId5" Type="http://schemas.openxmlformats.org/officeDocument/2006/relationships/hyperlink" Target="https://qvinci.com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qvinci.com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s://qvincisupport.as.me/Customer-Success-V2-Migration?field:6538690=%3CV2-Migration%3E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508657</xdr:colOff>
      <xdr:row>2</xdr:row>
      <xdr:rowOff>176529</xdr:rowOff>
    </xdr:from>
    <xdr:to>
      <xdr:col>19</xdr:col>
      <xdr:colOff>0</xdr:colOff>
      <xdr:row>9</xdr:row>
      <xdr:rowOff>0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48B4DE-6734-46D1-9004-24C33D53B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407" y="419946"/>
          <a:ext cx="4994676" cy="1135804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190501</xdr:colOff>
      <xdr:row>14</xdr:row>
      <xdr:rowOff>96439</xdr:rowOff>
    </xdr:from>
    <xdr:to>
      <xdr:col>19</xdr:col>
      <xdr:colOff>477304</xdr:colOff>
      <xdr:row>22</xdr:row>
      <xdr:rowOff>19973</xdr:rowOff>
    </xdr:to>
    <xdr:pic>
      <xdr:nvPicPr>
        <xdr:cNvPr id="12" name="Pictur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87805FA-A345-487E-B6AB-F336BE98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57168" y="2805772"/>
          <a:ext cx="5790136" cy="1447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94193</xdr:colOff>
      <xdr:row>11</xdr:row>
      <xdr:rowOff>0</xdr:rowOff>
    </xdr:from>
    <xdr:to>
      <xdr:col>8</xdr:col>
      <xdr:colOff>1968501</xdr:colOff>
      <xdr:row>23</xdr:row>
      <xdr:rowOff>266700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06946-401F-4785-891C-9134A6176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63501</xdr:colOff>
      <xdr:row>13</xdr:row>
      <xdr:rowOff>201086</xdr:rowOff>
    </xdr:from>
    <xdr:to>
      <xdr:col>19</xdr:col>
      <xdr:colOff>677331</xdr:colOff>
      <xdr:row>18</xdr:row>
      <xdr:rowOff>10585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479EB5-05CC-424E-A9DD-20BDA86F1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392834" y="2783419"/>
          <a:ext cx="5799664" cy="1449916"/>
        </a:xfrm>
        <a:prstGeom prst="rect">
          <a:avLst/>
        </a:prstGeom>
      </xdr:spPr>
    </xdr:pic>
    <xdr:clientData/>
  </xdr:twoCellAnchor>
  <xdr:twoCellAnchor editAs="oneCell">
    <xdr:from>
      <xdr:col>12</xdr:col>
      <xdr:colOff>459739</xdr:colOff>
      <xdr:row>2</xdr:row>
      <xdr:rowOff>72815</xdr:rowOff>
    </xdr:from>
    <xdr:to>
      <xdr:col>19</xdr:col>
      <xdr:colOff>268581</xdr:colOff>
      <xdr:row>8</xdr:row>
      <xdr:rowOff>245536</xdr:rowOff>
    </xdr:to>
    <xdr:pic>
      <xdr:nvPicPr>
        <xdr:cNvPr id="9" name="Pictur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48F90F5-085A-4D08-A08C-576EF31D4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822" y="305648"/>
          <a:ext cx="4994676" cy="1135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11</xdr:row>
      <xdr:rowOff>19050</xdr:rowOff>
    </xdr:from>
    <xdr:to>
      <xdr:col>14</xdr:col>
      <xdr:colOff>10583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97519E-9008-4FE2-A093-B30DF8B18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</xdr:colOff>
      <xdr:row>34</xdr:row>
      <xdr:rowOff>47625</xdr:rowOff>
    </xdr:from>
    <xdr:to>
      <xdr:col>13</xdr:col>
      <xdr:colOff>825500</xdr:colOff>
      <xdr:row>46</xdr:row>
      <xdr:rowOff>171450</xdr:rowOff>
    </xdr:to>
    <xdr:graphicFrame macro="">
      <xdr:nvGraphicFramePr>
        <xdr:cNvPr id="3" name="FloatingObject1">
          <a:extLst>
            <a:ext uri="{FF2B5EF4-FFF2-40B4-BE49-F238E27FC236}">
              <a16:creationId xmlns:a16="http://schemas.microsoft.com/office/drawing/2014/main" id="{D7650C74-3924-447B-9496-DFC3F847F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208083</xdr:colOff>
      <xdr:row>15</xdr:row>
      <xdr:rowOff>98061</xdr:rowOff>
    </xdr:from>
    <xdr:to>
      <xdr:col>25</xdr:col>
      <xdr:colOff>572981</xdr:colOff>
      <xdr:row>22</xdr:row>
      <xdr:rowOff>38473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FA24690-FDDA-47ED-9C81-C93E2A106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57750" y="2574561"/>
          <a:ext cx="5095648" cy="1273912"/>
        </a:xfrm>
        <a:prstGeom prst="rect">
          <a:avLst/>
        </a:prstGeom>
      </xdr:spPr>
    </xdr:pic>
    <xdr:clientData/>
  </xdr:twoCellAnchor>
  <xdr:twoCellAnchor editAs="oneCell">
    <xdr:from>
      <xdr:col>18</xdr:col>
      <xdr:colOff>506683</xdr:colOff>
      <xdr:row>2</xdr:row>
      <xdr:rowOff>138392</xdr:rowOff>
    </xdr:from>
    <xdr:to>
      <xdr:col>25</xdr:col>
      <xdr:colOff>219531</xdr:colOff>
      <xdr:row>9</xdr:row>
      <xdr:rowOff>94234</xdr:rowOff>
    </xdr:to>
    <xdr:pic>
      <xdr:nvPicPr>
        <xdr:cNvPr id="11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70BFAB2-D250-41C8-9E78-BBFC6AE96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6350" y="572309"/>
          <a:ext cx="4443598" cy="1003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5296</xdr:colOff>
      <xdr:row>11</xdr:row>
      <xdr:rowOff>58246</xdr:rowOff>
    </xdr:from>
    <xdr:to>
      <xdr:col>21</xdr:col>
      <xdr:colOff>22975</xdr:colOff>
      <xdr:row>17</xdr:row>
      <xdr:rowOff>49437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5DC5D6-7C01-434B-BE78-E108CB41D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588879" y="2344246"/>
          <a:ext cx="4833096" cy="1208274"/>
        </a:xfrm>
        <a:prstGeom prst="rect">
          <a:avLst/>
        </a:prstGeom>
      </xdr:spPr>
    </xdr:pic>
    <xdr:clientData/>
  </xdr:twoCellAnchor>
  <xdr:twoCellAnchor editAs="oneCell">
    <xdr:from>
      <xdr:col>14</xdr:col>
      <xdr:colOff>459740</xdr:colOff>
      <xdr:row>2</xdr:row>
      <xdr:rowOff>72815</xdr:rowOff>
    </xdr:from>
    <xdr:to>
      <xdr:col>20</xdr:col>
      <xdr:colOff>496408</xdr:colOff>
      <xdr:row>7</xdr:row>
      <xdr:rowOff>111901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D63FAB-AD4F-453F-A22F-6052D54BC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3323" y="527898"/>
          <a:ext cx="4164168" cy="949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39"/>
  <sheetViews>
    <sheetView workbookViewId="0">
      <pane xSplit="1" ySplit="5" topLeftCell="B20" activePane="bottomRight" state="frozen"/>
      <selection pane="topRight" activeCell="B1" sqref="B1"/>
      <selection pane="bottomLeft" activeCell="A6" sqref="A6"/>
      <selection pane="bottomRight" activeCell="M33" sqref="M33"/>
    </sheetView>
  </sheetViews>
  <sheetFormatPr defaultColWidth="10.28515625" defaultRowHeight="15"/>
  <cols>
    <col min="1" max="1" width="32.28515625" style="1" customWidth="1"/>
    <col min="2" max="2" width="18" style="1" customWidth="1"/>
    <col min="3" max="3" width="17.28515625" style="1" customWidth="1"/>
    <col min="4" max="5" width="2.5703125" style="1" customWidth="1"/>
    <col min="6" max="6" width="26.85546875" style="1" customWidth="1"/>
    <col min="7" max="7" width="15.5703125" style="1" customWidth="1"/>
    <col min="8" max="8" width="13.140625" style="1" customWidth="1"/>
    <col min="9" max="10" width="16.5703125" style="2" customWidth="1"/>
    <col min="11" max="11" width="4.7109375" style="1" customWidth="1"/>
    <col min="12" max="12" width="4.28515625" style="1" customWidth="1"/>
    <col min="13" max="13" width="13.140625" style="1" customWidth="1"/>
    <col min="14" max="14" width="10.28515625" style="3"/>
  </cols>
  <sheetData>
    <row r="1" spans="1:13" s="1" customFormat="1" ht="15" customHeight="1">
      <c r="A1" s="290" t="str">
        <f>CONCATENATE("Instructions : Column A contains the account names to be pulled from the QB file or SCOA. Columns B and C contain Qvinci macros that hydrate data for accounts in column A for the periods defined. ","
ONLY CHANGE THESE by selecting a cell with 1 macro and then clicking the COLUMNS MACROS in the vertical toolbar in the upper left corner of the screen")</f>
        <v>Instructions : Column A contains the account names to be pulled from the QB file or SCOA. Columns B and C contain Qvinci macros that hydrate data for accounts in column A for the periods defined. 
ONLY CHANGE THESE by selecting a cell with 1 macro and then clicking the COLUMNS MACROS in the vertical toolbar in the upper left corner of the screen</v>
      </c>
      <c r="B1" s="291"/>
      <c r="C1" s="291"/>
      <c r="D1" s="257"/>
      <c r="E1" s="257"/>
      <c r="F1" s="291" t="str">
        <f>CONCATENATE("Instructions :   The cells below calculate data for the reports on the next 2 tabs from the data that Qvinci is hydrating in columns A- C. "," Changing the Report Name Fields changes the names on the report tabs. The report tabs derive ALL data from these columns.","
To view this report on-the-fly click filter entities above and select 1 or more. Then click the PREVIEW button in the lower left corner of the screen.")</f>
        <v>Instructions :   The cells below calculate data for the reports on the next 2 tabs from the data that Qvinci is hydrating in columns A- C.  Changing the Report Name Fields changes the names on the report tabs. The report tabs derive ALL data from these columns.
To view this report on-the-fly click filter entities above and select 1 or more. Then click the PREVIEW button in the lower left corner of the screen.</v>
      </c>
      <c r="G1" s="291"/>
      <c r="H1" s="291"/>
      <c r="I1" s="291"/>
      <c r="J1" s="291"/>
      <c r="K1" s="291"/>
      <c r="L1" s="291"/>
      <c r="M1" s="294"/>
    </row>
    <row r="2" spans="1:13" s="1" customFormat="1" ht="85.15" customHeight="1" thickBot="1">
      <c r="A2" s="292"/>
      <c r="B2" s="293"/>
      <c r="C2" s="293"/>
      <c r="D2" s="258"/>
      <c r="E2" s="258"/>
      <c r="F2" s="293"/>
      <c r="G2" s="293"/>
      <c r="H2" s="293"/>
      <c r="I2" s="293"/>
      <c r="J2" s="293"/>
      <c r="K2" s="293"/>
      <c r="L2" s="293"/>
      <c r="M2" s="295"/>
    </row>
    <row r="3" spans="1:13" s="1" customFormat="1" ht="15" customHeight="1">
      <c r="A3" s="259"/>
      <c r="B3" s="255"/>
      <c r="C3" s="255"/>
      <c r="D3" s="256"/>
      <c r="E3" s="256"/>
      <c r="F3" s="255"/>
      <c r="G3" s="255"/>
      <c r="H3" s="255"/>
      <c r="I3" s="255"/>
      <c r="J3" s="255"/>
      <c r="K3" s="255"/>
      <c r="L3" s="255"/>
      <c r="M3" s="260"/>
    </row>
    <row r="4" spans="1:13" s="209" customFormat="1" ht="16.5" customHeight="1">
      <c r="A4" s="296" t="str">
        <f>"Hydrated Data from Qvinci SCOA or QB Native Accounts"</f>
        <v>Hydrated Data from Qvinci SCOA or QB Native Accounts</v>
      </c>
      <c r="B4" s="297"/>
      <c r="C4" s="297"/>
      <c r="D4" s="206"/>
      <c r="E4" s="206"/>
      <c r="F4" s="298" t="str">
        <f>"Calculated Values Used on Reporting Sheets"</f>
        <v>Calculated Values Used on Reporting Sheets</v>
      </c>
      <c r="G4" s="298"/>
      <c r="H4" s="298"/>
      <c r="I4" s="298"/>
      <c r="J4" s="298"/>
      <c r="K4" s="298"/>
      <c r="L4" s="298"/>
      <c r="M4" s="299"/>
    </row>
    <row r="5" spans="1:13" s="212" customFormat="1" ht="33" customHeight="1">
      <c r="A5" s="261"/>
      <c r="B5" s="226" t="s">
        <v>0</v>
      </c>
      <c r="C5" s="226" t="s">
        <v>23</v>
      </c>
      <c r="D5" s="210"/>
      <c r="E5" s="210"/>
      <c r="F5" s="226" t="s">
        <v>1</v>
      </c>
      <c r="G5" s="226"/>
      <c r="H5" s="227"/>
      <c r="I5" s="228" t="str">
        <f>B5</f>
        <v>Last Month</v>
      </c>
      <c r="J5" s="228" t="str">
        <f>C5</f>
        <v>Same Month Last Year</v>
      </c>
      <c r="K5" s="228"/>
      <c r="L5" s="228"/>
      <c r="M5" s="262" t="s">
        <v>2</v>
      </c>
    </row>
    <row r="6" spans="1:13" s="213" customFormat="1" ht="27" customHeight="1">
      <c r="A6" s="263"/>
      <c r="B6" s="211" t="s">
        <v>3</v>
      </c>
      <c r="C6" s="211" t="s">
        <v>4</v>
      </c>
      <c r="D6" s="207"/>
      <c r="E6" s="207"/>
      <c r="F6" s="207"/>
      <c r="G6" s="208" t="s">
        <v>5</v>
      </c>
      <c r="H6" s="208"/>
      <c r="I6" s="207"/>
      <c r="J6" s="208"/>
      <c r="K6" s="208"/>
      <c r="L6" s="208"/>
      <c r="M6" s="264"/>
    </row>
    <row r="7" spans="1:13" s="1" customFormat="1" ht="15" customHeight="1">
      <c r="A7" s="265" t="s">
        <v>6</v>
      </c>
      <c r="B7" s="169"/>
      <c r="C7" s="169"/>
      <c r="D7" s="169"/>
      <c r="E7" s="169"/>
      <c r="F7" s="173" t="str">
        <f>"Total Revenue"</f>
        <v>Total Revenue</v>
      </c>
      <c r="G7" s="170"/>
      <c r="H7" s="171"/>
      <c r="I7" s="174">
        <f>B8</f>
        <v>660600</v>
      </c>
      <c r="J7" s="174">
        <f>IFERROR(C8,"-")</f>
        <v>330300</v>
      </c>
      <c r="K7" s="171"/>
      <c r="L7" s="171"/>
      <c r="M7" s="266">
        <f t="shared" ref="M7:M10" si="0">IFERROR((I7-J7)/J7,"-")</f>
        <v>1</v>
      </c>
    </row>
    <row r="8" spans="1:13" s="1" customFormat="1" ht="15" customHeight="1">
      <c r="A8" s="267" t="s">
        <v>83</v>
      </c>
      <c r="B8" s="175">
        <v>660600</v>
      </c>
      <c r="C8" s="175">
        <v>330300</v>
      </c>
      <c r="D8" s="169"/>
      <c r="E8" s="169"/>
      <c r="F8" s="173" t="str">
        <f>"Operating Profit Margin"</f>
        <v>Operating Profit Margin</v>
      </c>
      <c r="G8" s="170"/>
      <c r="H8" s="171"/>
      <c r="I8" s="176">
        <f t="shared" ref="I8:J8" si="1">IFERROR((B9-B10)/B8,"-")</f>
        <v>0.30378007871631851</v>
      </c>
      <c r="J8" s="176">
        <f t="shared" si="1"/>
        <v>0.62971323039660909</v>
      </c>
      <c r="K8" s="171"/>
      <c r="L8" s="171"/>
      <c r="M8" s="266">
        <f t="shared" si="0"/>
        <v>-0.51758981064286957</v>
      </c>
    </row>
    <row r="9" spans="1:13" s="1" customFormat="1" ht="15" customHeight="1">
      <c r="A9" s="267" t="s">
        <v>124</v>
      </c>
      <c r="B9" s="175">
        <v>241677.12</v>
      </c>
      <c r="C9" s="175">
        <v>228494.28</v>
      </c>
      <c r="D9" s="169"/>
      <c r="E9" s="169"/>
      <c r="F9" s="173" t="str">
        <f>"Profitability Ratio"</f>
        <v>Profitability Ratio</v>
      </c>
      <c r="G9" s="170"/>
      <c r="H9" s="171"/>
      <c r="I9" s="176">
        <f t="shared" ref="I9:J9" si="2">IFERROR(B11/B8,"-")</f>
        <v>0.30075252800484409</v>
      </c>
      <c r="J9" s="176">
        <f t="shared" si="2"/>
        <v>0.62668567968513478</v>
      </c>
      <c r="K9" s="171"/>
      <c r="L9" s="171"/>
      <c r="M9" s="266">
        <f t="shared" si="0"/>
        <v>-0.52009031360673352</v>
      </c>
    </row>
    <row r="10" spans="1:13" s="1" customFormat="1" ht="15" customHeight="1">
      <c r="A10" s="267" t="s">
        <v>125</v>
      </c>
      <c r="B10" s="175">
        <v>41000</v>
      </c>
      <c r="C10" s="175">
        <v>20500</v>
      </c>
      <c r="D10" s="169"/>
      <c r="E10" s="169"/>
      <c r="F10" s="173" t="str">
        <f>"Gross Profit Margin"</f>
        <v>Gross Profit Margin</v>
      </c>
      <c r="G10" s="170"/>
      <c r="H10" s="171"/>
      <c r="I10" s="176">
        <f t="shared" ref="I10:J10" si="3">IFERROR(B9/B8,"-")</f>
        <v>0.36584486830154406</v>
      </c>
      <c r="J10" s="176">
        <f t="shared" si="3"/>
        <v>0.69177801998183475</v>
      </c>
      <c r="K10" s="171"/>
      <c r="L10" s="171"/>
      <c r="M10" s="266">
        <f t="shared" si="0"/>
        <v>-0.4711528008491066</v>
      </c>
    </row>
    <row r="11" spans="1:13" s="1" customFormat="1" ht="15" customHeight="1">
      <c r="A11" s="267" t="s">
        <v>7</v>
      </c>
      <c r="B11" s="175">
        <v>198677.12</v>
      </c>
      <c r="C11" s="175">
        <v>206994.28</v>
      </c>
      <c r="D11" s="169"/>
      <c r="E11" s="169"/>
      <c r="F11" s="177"/>
      <c r="G11" s="171" t="s">
        <v>8</v>
      </c>
      <c r="H11" s="171"/>
      <c r="I11" s="172"/>
      <c r="J11" s="172"/>
      <c r="K11" s="169"/>
      <c r="L11" s="169"/>
      <c r="M11" s="266"/>
    </row>
    <row r="12" spans="1:13" s="1" customFormat="1" ht="15" customHeight="1">
      <c r="A12" s="267" t="s">
        <v>127</v>
      </c>
      <c r="B12" s="175">
        <v>418922.88</v>
      </c>
      <c r="C12" s="175">
        <v>101805.72</v>
      </c>
      <c r="D12" s="169"/>
      <c r="E12" s="169"/>
      <c r="F12" s="173" t="str">
        <f>"Working Capital Ratio"</f>
        <v>Working Capital Ratio</v>
      </c>
      <c r="G12" s="169"/>
      <c r="H12" s="171"/>
      <c r="I12" s="178">
        <f t="shared" ref="I12:J12" si="4">IFERROR(B26/B27,"-")</f>
        <v>6.4491519369328101</v>
      </c>
      <c r="J12" s="178">
        <f t="shared" si="4"/>
        <v>7.0438351987835075</v>
      </c>
      <c r="K12" s="171"/>
      <c r="L12" s="171"/>
      <c r="M12" s="266">
        <f t="shared" ref="M12:M14" si="5">IFERROR((I12-J12)/J12,"-")</f>
        <v>-8.4426061239110353E-2</v>
      </c>
    </row>
    <row r="13" spans="1:13" s="1" customFormat="1" ht="15" customHeight="1">
      <c r="A13" s="267"/>
      <c r="B13" s="169"/>
      <c r="C13" s="169"/>
      <c r="D13" s="169"/>
      <c r="E13" s="169"/>
      <c r="F13" s="173" t="str">
        <f>"Accounts Receivable Days"</f>
        <v>Accounts Receivable Days</v>
      </c>
      <c r="G13" s="169"/>
      <c r="H13" s="171"/>
      <c r="I13" s="179">
        <f t="shared" ref="I13:J13" si="6">IFERROR(B8/B21,"-")</f>
        <v>7.971481057534037E-2</v>
      </c>
      <c r="J13" s="179">
        <f t="shared" si="6"/>
        <v>5.3051972441095246E-2</v>
      </c>
      <c r="K13" s="171"/>
      <c r="L13" s="171"/>
      <c r="M13" s="266">
        <f t="shared" si="5"/>
        <v>0.50257958200987629</v>
      </c>
    </row>
    <row r="14" spans="1:13" s="1" customFormat="1" ht="15" customHeight="1">
      <c r="A14" s="267"/>
      <c r="B14" s="169"/>
      <c r="C14" s="169"/>
      <c r="D14" s="169"/>
      <c r="E14" s="169"/>
      <c r="F14" s="173" t="str">
        <f>"Accounts Payable Days"</f>
        <v>Accounts Payable Days</v>
      </c>
      <c r="G14" s="169"/>
      <c r="H14" s="171"/>
      <c r="I14" s="179">
        <f t="shared" ref="I14:J14" si="7">IFERROR(B8/B22,"-")</f>
        <v>1.7534173855341739</v>
      </c>
      <c r="J14" s="179">
        <f t="shared" si="7"/>
        <v>1.3331987891019172</v>
      </c>
      <c r="K14" s="171"/>
      <c r="L14" s="171"/>
      <c r="M14" s="266">
        <f t="shared" si="5"/>
        <v>0.31519575315195758</v>
      </c>
    </row>
    <row r="15" spans="1:13" s="1" customFormat="1" ht="15.75" customHeight="1">
      <c r="A15" s="268"/>
      <c r="B15" s="169"/>
      <c r="C15" s="169"/>
      <c r="D15" s="169"/>
      <c r="E15" s="169"/>
      <c r="F15" s="180"/>
      <c r="G15" s="171" t="s">
        <v>9</v>
      </c>
      <c r="H15" s="171"/>
      <c r="I15" s="172"/>
      <c r="J15" s="172"/>
      <c r="K15" s="169"/>
      <c r="L15" s="169"/>
      <c r="M15" s="266"/>
    </row>
    <row r="16" spans="1:13" s="1" customFormat="1" ht="15" customHeight="1">
      <c r="A16" s="267"/>
      <c r="B16" s="169"/>
      <c r="C16" s="169"/>
      <c r="D16" s="169"/>
      <c r="E16" s="169"/>
      <c r="F16" s="181"/>
      <c r="G16" s="169"/>
      <c r="H16" s="171"/>
      <c r="I16" s="178"/>
      <c r="J16" s="178"/>
      <c r="K16" s="171"/>
      <c r="L16" s="171"/>
      <c r="M16" s="266"/>
    </row>
    <row r="17" spans="1:13" s="1" customFormat="1" ht="15.75" customHeight="1">
      <c r="A17" s="267"/>
      <c r="B17" s="170"/>
      <c r="C17" s="170"/>
      <c r="D17" s="169"/>
      <c r="E17" s="169"/>
      <c r="F17" s="181" t="str">
        <f>"Cash on Hand"</f>
        <v>Cash on Hand</v>
      </c>
      <c r="G17" s="169"/>
      <c r="H17" s="171"/>
      <c r="I17" s="182">
        <v>200000</v>
      </c>
      <c r="J17" s="182">
        <v>190000</v>
      </c>
      <c r="K17" s="171"/>
      <c r="L17" s="171"/>
      <c r="M17" s="266">
        <f t="shared" ref="M17:M18" si="8">IFERROR((I17-J17)/J17,"-")</f>
        <v>5.2631578947368418E-2</v>
      </c>
    </row>
    <row r="18" spans="1:13" s="1" customFormat="1" ht="18" customHeight="1">
      <c r="A18" s="267"/>
      <c r="B18" s="170"/>
      <c r="C18" s="170"/>
      <c r="D18" s="169"/>
      <c r="E18" s="169"/>
      <c r="F18" s="183" t="str">
        <f>"Months of Cash Reserves"</f>
        <v>Months of Cash Reserves</v>
      </c>
      <c r="G18" s="169"/>
      <c r="H18" s="171"/>
      <c r="I18" s="184">
        <f t="shared" ref="I18:J18" si="9">IFERROR(I17/B10,"-")</f>
        <v>4.8780487804878048</v>
      </c>
      <c r="J18" s="184">
        <f t="shared" si="9"/>
        <v>9.2682926829268286</v>
      </c>
      <c r="K18" s="171"/>
      <c r="L18" s="171"/>
      <c r="M18" s="266">
        <f t="shared" si="8"/>
        <v>-0.47368421052631576</v>
      </c>
    </row>
    <row r="19" spans="1:13" s="213" customFormat="1" ht="27" customHeight="1">
      <c r="A19" s="269"/>
      <c r="B19" s="214" t="str">
        <f>B6</f>
        <v>Dec 2018</v>
      </c>
      <c r="C19" s="215" t="str">
        <f>C6</f>
        <v>Dec 2017</v>
      </c>
      <c r="D19" s="207"/>
      <c r="E19" s="207"/>
      <c r="F19" s="207"/>
      <c r="G19" s="208" t="s">
        <v>11</v>
      </c>
      <c r="H19" s="208"/>
      <c r="I19" s="207"/>
      <c r="J19" s="207"/>
      <c r="K19" s="207"/>
      <c r="L19" s="207"/>
      <c r="M19" s="270"/>
    </row>
    <row r="20" spans="1:13" s="1" customFormat="1" ht="15" customHeight="1">
      <c r="A20" s="265" t="s">
        <v>10</v>
      </c>
      <c r="B20" s="185"/>
      <c r="C20" s="185"/>
      <c r="D20" s="169"/>
      <c r="E20" s="169"/>
      <c r="F20" s="181" t="str">
        <f>"Return on Equity"</f>
        <v>Return on Equity</v>
      </c>
      <c r="G20" s="169"/>
      <c r="H20" s="171"/>
      <c r="I20" s="178">
        <f t="shared" ref="I20:J20" si="10">IFERROR(B8*12/B28,"-")</f>
        <v>1.3844100057999151</v>
      </c>
      <c r="J20" s="178">
        <f t="shared" si="10"/>
        <v>0.77795167960682254</v>
      </c>
      <c r="K20" s="171"/>
      <c r="L20" s="171"/>
      <c r="M20" s="266">
        <f t="shared" ref="M20:M22" si="11">IFERROR((I20-J20)/J20,"-")</f>
        <v>0.77955783384849453</v>
      </c>
    </row>
    <row r="21" spans="1:13" s="1" customFormat="1" ht="15" customHeight="1">
      <c r="A21" s="267" t="s">
        <v>126</v>
      </c>
      <c r="B21" s="175">
        <v>8287042.21</v>
      </c>
      <c r="C21" s="175">
        <v>6225970.21</v>
      </c>
      <c r="D21" s="169"/>
      <c r="E21" s="169"/>
      <c r="F21" s="181" t="str">
        <f>"Return on Assets"</f>
        <v>Return on Assets</v>
      </c>
      <c r="G21" s="169"/>
      <c r="H21" s="171"/>
      <c r="I21" s="178">
        <f t="shared" ref="I21:J21" si="12">IFERROR(B11/B24,"-")</f>
        <v>2.8255489842654091E-2</v>
      </c>
      <c r="J21" s="178">
        <f t="shared" si="12"/>
        <v>3.3429046298412299E-2</v>
      </c>
      <c r="K21" s="171"/>
      <c r="L21" s="171"/>
      <c r="M21" s="266">
        <f t="shared" si="11"/>
        <v>-0.1547623108830336</v>
      </c>
    </row>
    <row r="22" spans="1:13" s="1" customFormat="1" ht="15" customHeight="1">
      <c r="A22" s="267" t="s">
        <v>128</v>
      </c>
      <c r="B22" s="175">
        <v>376750</v>
      </c>
      <c r="C22" s="175">
        <v>247750</v>
      </c>
      <c r="D22" s="169"/>
      <c r="E22" s="169"/>
      <c r="F22" s="181" t="str">
        <f>"Return on Capital Employed"</f>
        <v>Return on Capital Employed</v>
      </c>
      <c r="G22" s="169"/>
      <c r="H22" s="171"/>
      <c r="I22" s="178">
        <f t="shared" ref="I22:J22" si="13">IFERROR(B8*12/(B24-B27),"-")</f>
        <v>1.3264950720771658</v>
      </c>
      <c r="J22" s="178">
        <f t="shared" si="13"/>
        <v>0.74156423257218995</v>
      </c>
      <c r="K22" s="171"/>
      <c r="L22" s="171"/>
      <c r="M22" s="266">
        <f t="shared" si="11"/>
        <v>0.78877973587815109</v>
      </c>
    </row>
    <row r="23" spans="1:13" s="1" customFormat="1" ht="15" customHeight="1">
      <c r="A23" s="268"/>
      <c r="B23" s="169"/>
      <c r="C23" s="169"/>
      <c r="D23" s="169"/>
      <c r="E23" s="169"/>
      <c r="F23" s="180"/>
      <c r="G23" s="171" t="s">
        <v>12</v>
      </c>
      <c r="H23" s="171"/>
      <c r="I23" s="172"/>
      <c r="J23" s="172"/>
      <c r="K23" s="169"/>
      <c r="L23" s="169"/>
      <c r="M23" s="266"/>
    </row>
    <row r="24" spans="1:13" s="1" customFormat="1" ht="15" customHeight="1">
      <c r="A24" s="267" t="s">
        <v>13</v>
      </c>
      <c r="B24" s="175">
        <v>7031451.9800000004</v>
      </c>
      <c r="C24" s="175">
        <v>6192048.6200000001</v>
      </c>
      <c r="D24" s="169"/>
      <c r="E24" s="169"/>
      <c r="F24" s="181" t="str">
        <f>"Asset Turnover"</f>
        <v>Asset Turnover</v>
      </c>
      <c r="G24" s="169"/>
      <c r="H24" s="171"/>
      <c r="I24" s="178">
        <f t="shared" ref="I24:J24" si="14">IFERROR(B8*12/B24,"-")</f>
        <v>1.1273916144983755</v>
      </c>
      <c r="J24" s="178">
        <f t="shared" si="14"/>
        <v>0.64011125287320503</v>
      </c>
      <c r="K24" s="171"/>
      <c r="L24" s="171"/>
      <c r="M24" s="266">
        <f>IFERROR((I24-J24)/J24,"-")</f>
        <v>0.76124323613740996</v>
      </c>
    </row>
    <row r="25" spans="1:13" s="1" customFormat="1" ht="15" customHeight="1">
      <c r="A25" s="267" t="s">
        <v>129</v>
      </c>
      <c r="B25" s="175">
        <v>1305402.6399999999</v>
      </c>
      <c r="C25" s="175">
        <v>1097130.6399999999</v>
      </c>
      <c r="D25" s="169"/>
      <c r="E25" s="169"/>
      <c r="F25" s="180"/>
      <c r="G25" s="171" t="s">
        <v>14</v>
      </c>
      <c r="H25" s="171"/>
      <c r="I25" s="172"/>
      <c r="J25" s="172"/>
      <c r="K25" s="169"/>
      <c r="L25" s="169"/>
      <c r="M25" s="266"/>
    </row>
    <row r="26" spans="1:13" s="1" customFormat="1" ht="15" customHeight="1">
      <c r="A26" s="267" t="s">
        <v>130</v>
      </c>
      <c r="B26" s="175">
        <v>6806451.9800000004</v>
      </c>
      <c r="C26" s="175">
        <v>5967048.6200000001</v>
      </c>
      <c r="D26" s="169"/>
      <c r="E26" s="169"/>
      <c r="F26" s="181" t="str">
        <f>"Quick Ratio"</f>
        <v>Quick Ratio</v>
      </c>
      <c r="G26" s="169"/>
      <c r="H26" s="171"/>
      <c r="I26" s="178">
        <f t="shared" ref="I26:J26" si="15">IFERROR((B29+B21)/B27,"-")</f>
        <v>11.702692282444927</v>
      </c>
      <c r="J26" s="178">
        <f t="shared" si="15"/>
        <v>12.146863593553881</v>
      </c>
      <c r="K26" s="171"/>
      <c r="L26" s="171"/>
      <c r="M26" s="266">
        <f t="shared" ref="M26:M27" si="16">IFERROR((I26-J26)/J26,"-")</f>
        <v>-3.6566748913247703E-2</v>
      </c>
    </row>
    <row r="27" spans="1:13" s="1" customFormat="1" ht="15" customHeight="1">
      <c r="A27" s="267" t="s">
        <v>131</v>
      </c>
      <c r="B27" s="175">
        <v>1055402.6399999999</v>
      </c>
      <c r="C27" s="175">
        <v>847130.64</v>
      </c>
      <c r="D27" s="169"/>
      <c r="E27" s="169"/>
      <c r="F27" s="181" t="str">
        <f>"Current Ratio"</f>
        <v>Current Ratio</v>
      </c>
      <c r="G27" s="169"/>
      <c r="H27" s="171"/>
      <c r="I27" s="178">
        <f t="shared" ref="I27:J27" si="17">IFERROR(B26/B27,"-")</f>
        <v>6.4491519369328101</v>
      </c>
      <c r="J27" s="178">
        <f t="shared" si="17"/>
        <v>7.0438351987835075</v>
      </c>
      <c r="K27" s="171"/>
      <c r="L27" s="171"/>
      <c r="M27" s="266">
        <f t="shared" si="16"/>
        <v>-8.4426061239110353E-2</v>
      </c>
    </row>
    <row r="28" spans="1:13" s="1" customFormat="1" ht="15" customHeight="1">
      <c r="A28" s="267" t="s">
        <v>132</v>
      </c>
      <c r="B28" s="175">
        <v>5726049.3399999999</v>
      </c>
      <c r="C28" s="175">
        <v>5094917.9800000004</v>
      </c>
      <c r="D28" s="169"/>
      <c r="E28" s="169"/>
      <c r="F28" s="180"/>
      <c r="G28" s="171" t="s">
        <v>15</v>
      </c>
      <c r="H28" s="171"/>
      <c r="I28" s="172"/>
      <c r="J28" s="172"/>
      <c r="K28" s="169"/>
      <c r="L28" s="169"/>
      <c r="M28" s="266"/>
    </row>
    <row r="29" spans="1:13" s="1" customFormat="1" ht="15" customHeight="1">
      <c r="A29" s="267" t="s">
        <v>133</v>
      </c>
      <c r="B29" s="175">
        <v>4064010.12</v>
      </c>
      <c r="C29" s="175">
        <v>4064010.12</v>
      </c>
      <c r="D29" s="169"/>
      <c r="E29" s="169"/>
      <c r="F29" s="181" t="str">
        <f>"Debt to Equity"</f>
        <v>Debt to Equity</v>
      </c>
      <c r="G29" s="169"/>
      <c r="H29" s="171"/>
      <c r="I29" s="178">
        <f t="shared" ref="I29:J29" si="18">IFERROR(B25/B28,"-")</f>
        <v>0.22797614244797967</v>
      </c>
      <c r="J29" s="178">
        <f t="shared" si="18"/>
        <v>0.21533823396309115</v>
      </c>
      <c r="K29" s="171"/>
      <c r="L29" s="171"/>
      <c r="M29" s="266">
        <f t="shared" ref="M29:M30" si="19">IFERROR((I29-J29)/J29,"-")</f>
        <v>5.868864182778917E-2</v>
      </c>
    </row>
    <row r="30" spans="1:13" s="1" customFormat="1" ht="15" customHeight="1">
      <c r="A30" s="268"/>
      <c r="B30" s="169"/>
      <c r="C30" s="169"/>
      <c r="D30" s="169"/>
      <c r="E30" s="169"/>
      <c r="F30" s="181" t="str">
        <f>"Debt to Total Assets"</f>
        <v>Debt to Total Assets</v>
      </c>
      <c r="G30" s="169"/>
      <c r="H30" s="171"/>
      <c r="I30" s="178">
        <f t="shared" ref="I30:J30" si="20">IFERROR(B25/B24,"-")</f>
        <v>0.18565193130992552</v>
      </c>
      <c r="J30" s="178">
        <f t="shared" si="20"/>
        <v>0.17718378961953304</v>
      </c>
      <c r="K30" s="171"/>
      <c r="L30" s="171"/>
      <c r="M30" s="266">
        <f t="shared" si="19"/>
        <v>4.7792982126503382E-2</v>
      </c>
    </row>
    <row r="31" spans="1:13" s="1" customFormat="1" ht="15" customHeight="1">
      <c r="A31" s="268"/>
      <c r="B31" s="169"/>
      <c r="C31" s="169"/>
      <c r="D31" s="169"/>
      <c r="E31" s="169"/>
      <c r="F31" s="180"/>
      <c r="G31" s="171" t="s">
        <v>16</v>
      </c>
      <c r="H31" s="169"/>
      <c r="I31" s="172"/>
      <c r="J31" s="172"/>
      <c r="K31" s="169"/>
      <c r="L31" s="169"/>
      <c r="M31" s="266"/>
    </row>
    <row r="32" spans="1:13" s="1" customFormat="1" ht="15" customHeight="1">
      <c r="A32" s="268"/>
      <c r="B32" s="169"/>
      <c r="C32" s="169"/>
      <c r="D32" s="169"/>
      <c r="E32" s="169"/>
      <c r="F32" s="183" t="str">
        <f>"COGS"</f>
        <v>COGS</v>
      </c>
      <c r="G32" s="169"/>
      <c r="H32" s="169"/>
      <c r="I32" s="182">
        <v>100000</v>
      </c>
      <c r="J32" s="182">
        <f t="shared" ref="J32" si="21">C12</f>
        <v>101805.72</v>
      </c>
      <c r="K32" s="169"/>
      <c r="L32" s="169"/>
      <c r="M32" s="266">
        <f>IFERROR((J32-I32)/J32,"-")</f>
        <v>1.7736920872422502E-2</v>
      </c>
    </row>
    <row r="33" spans="1:13" s="1" customFormat="1" ht="15" customHeight="1">
      <c r="A33" s="268"/>
      <c r="B33" s="169"/>
      <c r="C33" s="169"/>
      <c r="D33" s="169"/>
      <c r="E33" s="169"/>
      <c r="F33" s="183" t="str">
        <f>"Gross Profit"</f>
        <v>Gross Profit</v>
      </c>
      <c r="G33" s="169"/>
      <c r="H33" s="169"/>
      <c r="I33" s="182">
        <f t="shared" ref="I33:J35" si="22">B9</f>
        <v>241677.12</v>
      </c>
      <c r="J33" s="182">
        <f t="shared" si="22"/>
        <v>228494.28</v>
      </c>
      <c r="K33" s="169"/>
      <c r="L33" s="169"/>
      <c r="M33" s="266">
        <f t="shared" ref="M33:M35" si="23">IFERROR((I33-J33)/J33,"-")</f>
        <v>5.7694398301786798E-2</v>
      </c>
    </row>
    <row r="34" spans="1:13" s="1" customFormat="1" ht="15" customHeight="1">
      <c r="A34" s="268"/>
      <c r="B34" s="169"/>
      <c r="C34" s="169"/>
      <c r="D34" s="169"/>
      <c r="E34" s="169"/>
      <c r="F34" s="183" t="str">
        <f>"Total Expenses"</f>
        <v>Total Expenses</v>
      </c>
      <c r="G34" s="169"/>
      <c r="H34" s="169"/>
      <c r="I34" s="182">
        <f t="shared" si="22"/>
        <v>41000</v>
      </c>
      <c r="J34" s="182">
        <f t="shared" si="22"/>
        <v>20500</v>
      </c>
      <c r="K34" s="169"/>
      <c r="L34" s="169"/>
      <c r="M34" s="266">
        <f>IFERROR((J34-I34)/J34,"-")</f>
        <v>-1</v>
      </c>
    </row>
    <row r="35" spans="1:13" s="1" customFormat="1" ht="15" customHeight="1" thickBot="1">
      <c r="A35" s="271"/>
      <c r="B35" s="258"/>
      <c r="C35" s="258"/>
      <c r="D35" s="258"/>
      <c r="E35" s="258"/>
      <c r="F35" s="272" t="s">
        <v>7</v>
      </c>
      <c r="G35" s="273"/>
      <c r="H35" s="273"/>
      <c r="I35" s="274">
        <f t="shared" si="22"/>
        <v>198677.12</v>
      </c>
      <c r="J35" s="274">
        <f t="shared" si="22"/>
        <v>206994.28</v>
      </c>
      <c r="K35" s="273"/>
      <c r="L35" s="273"/>
      <c r="M35" s="275">
        <f t="shared" si="23"/>
        <v>-4.0180627213466977E-2</v>
      </c>
    </row>
    <row r="36" spans="1:13" s="1" customFormat="1" ht="15" customHeight="1">
      <c r="A36" s="11"/>
      <c r="B36" s="3"/>
      <c r="C36" s="3"/>
      <c r="I36" s="12"/>
    </row>
    <row r="37" spans="1:13" s="1" customFormat="1" ht="12.75">
      <c r="B37" s="3"/>
      <c r="C37" s="3"/>
    </row>
    <row r="38" spans="1:13" s="1" customFormat="1" ht="12.75"/>
    <row r="39" spans="1:13" s="1" customFormat="1" ht="12.75"/>
  </sheetData>
  <mergeCells count="4">
    <mergeCell ref="A1:C2"/>
    <mergeCell ref="F1:M2"/>
    <mergeCell ref="A4:C4"/>
    <mergeCell ref="F4:M4"/>
  </mergeCells>
  <pageMargins left="0.7" right="0.7" top="0.75" bottom="0.75" header="0.3" footer="0.3"/>
  <pageSetup paperSize="66" fitToWidth="0" fitToHeight="0" orientation="portrait" useFirstPageNumber="1" r:id="rId1"/>
  <headerFooter>
    <oddHeader>&amp;L&amp;"Arial"&amp;C&amp;"Arial"&amp;R&amp;"Arial"</oddHeader>
    <oddFooter>&amp;L&amp;"Arial"&amp;C&amp;"Arial"&amp;R&amp;"Arial"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U42"/>
  <sheetViews>
    <sheetView tabSelected="1" zoomScale="90" zoomScaleNormal="90" workbookViewId="0"/>
  </sheetViews>
  <sheetFormatPr defaultColWidth="10.28515625" defaultRowHeight="15"/>
  <cols>
    <col min="1" max="1" width="3" customWidth="1"/>
    <col min="2" max="2" width="0.42578125" style="4" customWidth="1"/>
    <col min="3" max="3" width="11.42578125" style="4" customWidth="1"/>
    <col min="4" max="4" width="30.7109375" style="4" customWidth="1"/>
    <col min="5" max="5" width="22.5703125" style="4" customWidth="1"/>
    <col min="6" max="6" width="21.7109375" style="4" customWidth="1"/>
    <col min="7" max="7" width="9.5703125" customWidth="1"/>
    <col min="8" max="8" width="20" style="4" customWidth="1"/>
    <col min="9" max="9" width="4.28515625" style="4" customWidth="1"/>
    <col min="10" max="10" width="2.7109375" style="4" customWidth="1"/>
    <col min="11" max="11" width="0.42578125" customWidth="1"/>
    <col min="12" max="12" width="10.28515625" customWidth="1"/>
    <col min="20" max="20" width="7.5703125" customWidth="1"/>
    <col min="21" max="21" width="2.140625" customWidth="1"/>
  </cols>
  <sheetData>
    <row r="1" spans="2:21" ht="15.75" thickBot="1"/>
    <row r="2" spans="2:21" s="4" customFormat="1" ht="18.75" customHeight="1" thickBot="1">
      <c r="B2" s="311" t="s">
        <v>17</v>
      </c>
      <c r="C2" s="312"/>
      <c r="D2" s="312"/>
      <c r="E2" s="312"/>
      <c r="F2" s="312"/>
      <c r="G2" s="312"/>
      <c r="H2" s="312"/>
      <c r="I2" s="313"/>
    </row>
    <row r="3" spans="2:21" s="4" customFormat="1" ht="18.75" customHeight="1">
      <c r="B3" s="314" t="s">
        <v>18</v>
      </c>
      <c r="C3" s="315"/>
      <c r="D3" s="315"/>
      <c r="E3" s="315"/>
      <c r="F3" s="315"/>
      <c r="G3" s="315"/>
      <c r="H3" s="315"/>
      <c r="I3" s="316"/>
      <c r="K3" s="300"/>
      <c r="L3" s="301"/>
      <c r="M3" s="301"/>
      <c r="N3" s="301"/>
      <c r="O3" s="301"/>
      <c r="P3" s="301"/>
      <c r="Q3" s="301"/>
      <c r="R3" s="301"/>
      <c r="S3" s="301"/>
      <c r="T3" s="301"/>
      <c r="U3" s="302"/>
    </row>
    <row r="4" spans="2:21" s="4" customFormat="1" ht="18.75" customHeight="1">
      <c r="B4" s="82"/>
      <c r="C4" s="317">
        <f>IFERROR(DATEVALUE("12/31/2018"),"12/31/2018")</f>
        <v>43465</v>
      </c>
      <c r="D4" s="317"/>
      <c r="E4" s="317"/>
      <c r="F4" s="317"/>
      <c r="G4" s="317"/>
      <c r="H4" s="317"/>
      <c r="I4" s="83"/>
      <c r="K4" s="303"/>
      <c r="L4" s="304"/>
      <c r="M4" s="304"/>
      <c r="N4" s="304"/>
      <c r="O4" s="304"/>
      <c r="P4" s="304"/>
      <c r="Q4" s="304"/>
      <c r="R4" s="304"/>
      <c r="S4" s="304"/>
      <c r="T4" s="304"/>
      <c r="U4" s="305"/>
    </row>
    <row r="5" spans="2:21" s="4" customFormat="1" ht="3.75" customHeight="1">
      <c r="B5" s="84"/>
      <c r="C5" s="35"/>
      <c r="D5" s="35"/>
      <c r="E5" s="35"/>
      <c r="F5" s="35"/>
      <c r="G5" s="35"/>
      <c r="H5" s="35"/>
      <c r="I5" s="85"/>
      <c r="K5" s="303"/>
      <c r="L5" s="304"/>
      <c r="M5" s="304"/>
      <c r="N5" s="304"/>
      <c r="O5" s="304"/>
      <c r="P5" s="304"/>
      <c r="Q5" s="304"/>
      <c r="R5" s="304"/>
      <c r="S5" s="304"/>
      <c r="T5" s="304"/>
      <c r="U5" s="305"/>
    </row>
    <row r="6" spans="2:21" s="4" customFormat="1" ht="15" customHeight="1">
      <c r="B6" s="318"/>
      <c r="C6" s="319"/>
      <c r="D6" s="319"/>
      <c r="E6" s="319"/>
      <c r="F6" s="319"/>
      <c r="G6" s="319"/>
      <c r="H6" s="319"/>
      <c r="I6" s="320"/>
      <c r="J6" s="8"/>
      <c r="K6" s="303"/>
      <c r="L6" s="304"/>
      <c r="M6" s="304"/>
      <c r="N6" s="304"/>
      <c r="O6" s="304"/>
      <c r="P6" s="304"/>
      <c r="Q6" s="304"/>
      <c r="R6" s="304"/>
      <c r="S6" s="304"/>
      <c r="T6" s="304"/>
      <c r="U6" s="305"/>
    </row>
    <row r="7" spans="2:21" s="4" customFormat="1" ht="3.75" customHeight="1">
      <c r="B7" s="84"/>
      <c r="C7" s="321"/>
      <c r="D7" s="321"/>
      <c r="E7" s="321"/>
      <c r="F7" s="321"/>
      <c r="G7" s="321"/>
      <c r="H7" s="321"/>
      <c r="I7" s="85"/>
      <c r="K7" s="303"/>
      <c r="L7" s="304"/>
      <c r="M7" s="304"/>
      <c r="N7" s="304"/>
      <c r="O7" s="304"/>
      <c r="P7" s="304"/>
      <c r="Q7" s="304"/>
      <c r="R7" s="304"/>
      <c r="S7" s="304"/>
      <c r="T7" s="304"/>
      <c r="U7" s="305"/>
    </row>
    <row r="8" spans="2:21" s="5" customFormat="1" ht="37.5" customHeight="1">
      <c r="B8" s="86"/>
      <c r="C8" s="14"/>
      <c r="D8" s="15"/>
      <c r="E8" s="16" t="str">
        <f>'#data1'!B6</f>
        <v>Dec 2018</v>
      </c>
      <c r="F8" s="16" t="str">
        <f>'#data1'!C6</f>
        <v>Dec 2017</v>
      </c>
      <c r="G8" s="15"/>
      <c r="H8" s="17" t="s">
        <v>19</v>
      </c>
      <c r="I8" s="87"/>
      <c r="K8" s="303"/>
      <c r="L8" s="304"/>
      <c r="M8" s="304"/>
      <c r="N8" s="304"/>
      <c r="O8" s="304"/>
      <c r="P8" s="304"/>
      <c r="Q8" s="304"/>
      <c r="R8" s="304"/>
      <c r="S8" s="304"/>
      <c r="T8" s="304"/>
      <c r="U8" s="305"/>
    </row>
    <row r="9" spans="2:21" s="4" customFormat="1" ht="3.75" customHeight="1">
      <c r="B9" s="88"/>
      <c r="C9" s="7"/>
      <c r="D9" s="7"/>
      <c r="E9" s="7"/>
      <c r="F9" s="7"/>
      <c r="G9" s="7"/>
      <c r="H9" s="7"/>
      <c r="I9" s="89"/>
      <c r="J9" s="8"/>
      <c r="K9" s="303"/>
      <c r="L9" s="304"/>
      <c r="M9" s="304"/>
      <c r="N9" s="304"/>
      <c r="O9" s="304"/>
      <c r="P9" s="304"/>
      <c r="Q9" s="304"/>
      <c r="R9" s="304"/>
      <c r="S9" s="304"/>
      <c r="T9" s="304"/>
      <c r="U9" s="305"/>
    </row>
    <row r="10" spans="2:21" s="6" customFormat="1" ht="15" customHeight="1">
      <c r="B10" s="90"/>
      <c r="C10" s="325" t="str">
        <f>'#data1'!G6</f>
        <v>PROFITABILITY</v>
      </c>
      <c r="D10" s="325"/>
      <c r="E10" s="325"/>
      <c r="F10" s="325"/>
      <c r="G10" s="325"/>
      <c r="H10" s="325"/>
      <c r="I10" s="91" t="s">
        <v>20</v>
      </c>
      <c r="K10" s="303"/>
      <c r="L10" s="304"/>
      <c r="M10" s="304"/>
      <c r="N10" s="304"/>
      <c r="O10" s="304"/>
      <c r="P10" s="304"/>
      <c r="Q10" s="304"/>
      <c r="R10" s="304"/>
      <c r="S10" s="304"/>
      <c r="T10" s="304"/>
      <c r="U10" s="305"/>
    </row>
    <row r="11" spans="2:21" s="4" customFormat="1" ht="15" customHeight="1">
      <c r="B11" s="84"/>
      <c r="C11" s="10" t="str">
        <f>'#data1'!F7</f>
        <v>Total Revenue</v>
      </c>
      <c r="D11" s="10"/>
      <c r="E11" s="18">
        <f>'#data1'!I7</f>
        <v>660600</v>
      </c>
      <c r="F11" s="18">
        <f>'#data1'!J7</f>
        <v>330300</v>
      </c>
      <c r="G11" s="10"/>
      <c r="H11" s="19">
        <f>'#data1'!M7</f>
        <v>1</v>
      </c>
      <c r="I11" s="89"/>
      <c r="J11" s="8"/>
      <c r="K11" s="303"/>
      <c r="L11" s="304"/>
      <c r="M11" s="304"/>
      <c r="N11" s="304"/>
      <c r="O11" s="304"/>
      <c r="P11" s="304"/>
      <c r="Q11" s="304"/>
      <c r="R11" s="304"/>
      <c r="S11" s="304"/>
      <c r="T11" s="304"/>
      <c r="U11" s="305"/>
    </row>
    <row r="12" spans="2:21" s="4" customFormat="1" ht="15" customHeight="1">
      <c r="B12" s="84"/>
      <c r="C12" s="10" t="str">
        <f>'#data1'!F8</f>
        <v>Operating Profit Margin</v>
      </c>
      <c r="D12" s="10"/>
      <c r="E12" s="20">
        <f>'#data1'!I8</f>
        <v>0.30378007871631851</v>
      </c>
      <c r="F12" s="21">
        <f>'#data1'!J8</f>
        <v>0.62971323039660909</v>
      </c>
      <c r="G12" s="10"/>
      <c r="H12" s="19">
        <f>'#data1'!M8</f>
        <v>-0.51758981064286957</v>
      </c>
      <c r="I12" s="89"/>
      <c r="J12" s="8"/>
      <c r="K12" s="303"/>
      <c r="L12" s="304"/>
      <c r="M12" s="304"/>
      <c r="N12" s="304"/>
      <c r="O12" s="304"/>
      <c r="P12" s="304"/>
      <c r="Q12" s="304"/>
      <c r="R12" s="304"/>
      <c r="S12" s="304"/>
      <c r="T12" s="304"/>
      <c r="U12" s="305"/>
    </row>
    <row r="13" spans="2:21" s="4" customFormat="1" ht="15" customHeight="1">
      <c r="B13" s="84"/>
      <c r="C13" s="10" t="str">
        <f>'#data1'!F9</f>
        <v>Profitability Ratio</v>
      </c>
      <c r="D13" s="10"/>
      <c r="E13" s="21">
        <f>'#data1'!I9</f>
        <v>0.30075252800484409</v>
      </c>
      <c r="F13" s="21">
        <f>'#data1'!J9</f>
        <v>0.62668567968513478</v>
      </c>
      <c r="G13" s="10"/>
      <c r="H13" s="19">
        <f>'#data1'!M9</f>
        <v>-0.52009031360673352</v>
      </c>
      <c r="I13" s="89"/>
      <c r="J13" s="8"/>
      <c r="K13" s="303"/>
      <c r="L13" s="304"/>
      <c r="M13" s="304"/>
      <c r="N13" s="304"/>
      <c r="O13" s="304"/>
      <c r="P13" s="304"/>
      <c r="Q13" s="304"/>
      <c r="R13" s="304"/>
      <c r="S13" s="304"/>
      <c r="T13" s="304"/>
      <c r="U13" s="305"/>
    </row>
    <row r="14" spans="2:21" s="4" customFormat="1" ht="15" customHeight="1">
      <c r="B14" s="84"/>
      <c r="C14" s="10" t="str">
        <f>'#data1'!F10</f>
        <v>Gross Profit Margin</v>
      </c>
      <c r="D14" s="10"/>
      <c r="E14" s="21">
        <f>'#data1'!I10</f>
        <v>0.36584486830154406</v>
      </c>
      <c r="F14" s="21">
        <f>'#data1'!J10</f>
        <v>0.69177801998183475</v>
      </c>
      <c r="G14" s="10"/>
      <c r="H14" s="19">
        <f>'#data1'!M10</f>
        <v>-0.4711528008491066</v>
      </c>
      <c r="I14" s="89"/>
      <c r="J14" s="8"/>
      <c r="K14" s="303"/>
      <c r="L14" s="304"/>
      <c r="M14" s="304"/>
      <c r="N14" s="304"/>
      <c r="O14" s="304"/>
      <c r="P14" s="304"/>
      <c r="Q14" s="304"/>
      <c r="R14" s="304"/>
      <c r="S14" s="304"/>
      <c r="T14" s="304"/>
      <c r="U14" s="305"/>
    </row>
    <row r="15" spans="2:21" s="6" customFormat="1" ht="15" customHeight="1">
      <c r="B15" s="90"/>
      <c r="C15" s="22" t="str">
        <f>'#data1'!G11</f>
        <v>ACTIVITY</v>
      </c>
      <c r="D15" s="23"/>
      <c r="E15" s="24"/>
      <c r="F15" s="24"/>
      <c r="G15" s="24"/>
      <c r="H15" s="24"/>
      <c r="I15" s="92"/>
      <c r="K15" s="303"/>
      <c r="L15" s="304"/>
      <c r="M15" s="304"/>
      <c r="N15" s="304"/>
      <c r="O15" s="304"/>
      <c r="P15" s="304"/>
      <c r="Q15" s="304"/>
      <c r="R15" s="304"/>
      <c r="S15" s="304"/>
      <c r="T15" s="304"/>
      <c r="U15" s="305"/>
    </row>
    <row r="16" spans="2:21" s="4" customFormat="1" ht="15" customHeight="1">
      <c r="B16" s="84"/>
      <c r="C16" s="10" t="str">
        <f>'#data1'!F12</f>
        <v>Working Capital Ratio</v>
      </c>
      <c r="D16" s="10"/>
      <c r="E16" s="21">
        <f>'#data1'!I12</f>
        <v>6.4491519369328101</v>
      </c>
      <c r="F16" s="21">
        <f>'#data1'!J12</f>
        <v>7.0438351987835075</v>
      </c>
      <c r="G16" s="10"/>
      <c r="H16" s="19">
        <f>'#data1'!M12</f>
        <v>-8.4426061239110353E-2</v>
      </c>
      <c r="I16" s="85"/>
      <c r="K16" s="303"/>
      <c r="L16" s="304"/>
      <c r="M16" s="304"/>
      <c r="N16" s="304"/>
      <c r="O16" s="304"/>
      <c r="P16" s="304"/>
      <c r="Q16" s="304"/>
      <c r="R16" s="304"/>
      <c r="S16" s="304"/>
      <c r="T16" s="304"/>
      <c r="U16" s="305"/>
    </row>
    <row r="17" spans="2:21" s="4" customFormat="1" ht="15" customHeight="1">
      <c r="B17" s="84"/>
      <c r="C17" s="10" t="str">
        <f>'#data1'!F13</f>
        <v>Accounts Receivable Days</v>
      </c>
      <c r="D17" s="10"/>
      <c r="E17" s="25">
        <f>'#data1'!I13</f>
        <v>7.971481057534037E-2</v>
      </c>
      <c r="F17" s="25">
        <f>'#data1'!J13</f>
        <v>5.3051972441095246E-2</v>
      </c>
      <c r="G17" s="10"/>
      <c r="H17" s="19">
        <f>'#data1'!M13</f>
        <v>0.50257958200987629</v>
      </c>
      <c r="I17" s="85"/>
      <c r="K17" s="303"/>
      <c r="L17" s="304"/>
      <c r="M17" s="304"/>
      <c r="N17" s="304"/>
      <c r="O17" s="304"/>
      <c r="P17" s="304"/>
      <c r="Q17" s="304"/>
      <c r="R17" s="304"/>
      <c r="S17" s="304"/>
      <c r="T17" s="304"/>
      <c r="U17" s="305"/>
    </row>
    <row r="18" spans="2:21" s="4" customFormat="1" ht="15" customHeight="1">
      <c r="B18" s="84"/>
      <c r="C18" s="10" t="str">
        <f>'#data1'!F14</f>
        <v>Accounts Payable Days</v>
      </c>
      <c r="D18" s="10"/>
      <c r="E18" s="25">
        <f>'#data1'!I14</f>
        <v>1.7534173855341739</v>
      </c>
      <c r="F18" s="25">
        <f>'#data1'!J14</f>
        <v>1.3331987891019172</v>
      </c>
      <c r="G18" s="10"/>
      <c r="H18" s="19">
        <f>'#data1'!M14</f>
        <v>0.31519575315195758</v>
      </c>
      <c r="I18" s="85"/>
      <c r="K18" s="303"/>
      <c r="L18" s="304"/>
      <c r="M18" s="304"/>
      <c r="N18" s="304"/>
      <c r="O18" s="304"/>
      <c r="P18" s="304"/>
      <c r="Q18" s="304"/>
      <c r="R18" s="304"/>
      <c r="S18" s="304"/>
      <c r="T18" s="304"/>
      <c r="U18" s="305"/>
    </row>
    <row r="19" spans="2:21" s="6" customFormat="1" ht="15" customHeight="1">
      <c r="B19" s="90"/>
      <c r="C19" s="26" t="str">
        <f>'#data1'!G15</f>
        <v>CASH</v>
      </c>
      <c r="D19" s="23"/>
      <c r="E19" s="23"/>
      <c r="F19" s="23"/>
      <c r="G19" s="23"/>
      <c r="H19" s="23"/>
      <c r="I19" s="92"/>
      <c r="K19" s="303"/>
      <c r="L19" s="304"/>
      <c r="M19" s="304"/>
      <c r="N19" s="304"/>
      <c r="O19" s="304"/>
      <c r="P19" s="304"/>
      <c r="Q19" s="304"/>
      <c r="R19" s="304"/>
      <c r="S19" s="304"/>
      <c r="T19" s="304"/>
      <c r="U19" s="305"/>
    </row>
    <row r="20" spans="2:21" s="4" customFormat="1" ht="15" customHeight="1">
      <c r="B20" s="84"/>
      <c r="C20" s="10" t="str">
        <f>'#data1'!F17</f>
        <v>Cash on Hand</v>
      </c>
      <c r="D20" s="10"/>
      <c r="E20" s="18">
        <f>'#data1'!I17</f>
        <v>200000</v>
      </c>
      <c r="F20" s="18">
        <f>'#data1'!J17</f>
        <v>190000</v>
      </c>
      <c r="G20" s="10"/>
      <c r="H20" s="19">
        <f>'#data1'!M17</f>
        <v>5.2631578947368418E-2</v>
      </c>
      <c r="I20" s="85"/>
      <c r="K20" s="303"/>
      <c r="L20" s="304"/>
      <c r="M20" s="304"/>
      <c r="N20" s="304"/>
      <c r="O20" s="304"/>
      <c r="P20" s="304"/>
      <c r="Q20" s="304"/>
      <c r="R20" s="304"/>
      <c r="S20" s="304"/>
      <c r="T20" s="304"/>
      <c r="U20" s="305"/>
    </row>
    <row r="21" spans="2:21" s="4" customFormat="1" ht="15" customHeight="1">
      <c r="B21" s="84"/>
      <c r="C21" s="10" t="str">
        <f>'#data1'!F18</f>
        <v>Months of Cash Reserves</v>
      </c>
      <c r="D21" s="10"/>
      <c r="E21" s="27">
        <f>'#data1'!I18</f>
        <v>4.8780487804878048</v>
      </c>
      <c r="F21" s="27">
        <f>'#data1'!J18</f>
        <v>9.2682926829268286</v>
      </c>
      <c r="G21" s="10"/>
      <c r="H21" s="19">
        <f>'#data1'!M18</f>
        <v>-0.47368421052631576</v>
      </c>
      <c r="I21" s="85"/>
      <c r="K21" s="303"/>
      <c r="L21" s="304"/>
      <c r="M21" s="304"/>
      <c r="N21" s="304"/>
      <c r="O21" s="304"/>
      <c r="P21" s="304"/>
      <c r="Q21" s="304"/>
      <c r="R21" s="304"/>
      <c r="S21" s="304"/>
      <c r="T21" s="304"/>
      <c r="U21" s="305"/>
    </row>
    <row r="22" spans="2:21" s="6" customFormat="1" ht="15" customHeight="1">
      <c r="B22" s="90"/>
      <c r="C22" s="28" t="str">
        <f>'#data1'!G19</f>
        <v>EFFICIENCY</v>
      </c>
      <c r="D22" s="29"/>
      <c r="E22" s="29"/>
      <c r="F22" s="29"/>
      <c r="G22" s="29"/>
      <c r="H22" s="29"/>
      <c r="I22" s="92"/>
      <c r="K22" s="303"/>
      <c r="L22" s="304"/>
      <c r="M22" s="304"/>
      <c r="N22" s="304"/>
      <c r="O22" s="304"/>
      <c r="P22" s="304"/>
      <c r="Q22" s="304"/>
      <c r="R22" s="304"/>
      <c r="S22" s="304"/>
      <c r="T22" s="304"/>
      <c r="U22" s="305"/>
    </row>
    <row r="23" spans="2:21" s="4" customFormat="1" ht="15" customHeight="1">
      <c r="B23" s="84"/>
      <c r="C23" s="10" t="str">
        <f>'#data1'!F20</f>
        <v>Return on Equity</v>
      </c>
      <c r="D23" s="10"/>
      <c r="E23" s="21">
        <f>'#data1'!I20</f>
        <v>1.3844100057999151</v>
      </c>
      <c r="F23" s="21">
        <f>'#data1'!J20</f>
        <v>0.77795167960682254</v>
      </c>
      <c r="G23" s="10"/>
      <c r="H23" s="19">
        <f>'#data1'!M20</f>
        <v>0.77955783384849453</v>
      </c>
      <c r="I23" s="85"/>
      <c r="K23" s="303"/>
      <c r="L23" s="304"/>
      <c r="M23" s="304"/>
      <c r="N23" s="304"/>
      <c r="O23" s="304"/>
      <c r="P23" s="304"/>
      <c r="Q23" s="304"/>
      <c r="R23" s="304"/>
      <c r="S23" s="304"/>
      <c r="T23" s="304"/>
      <c r="U23" s="305"/>
    </row>
    <row r="24" spans="2:21" s="4" customFormat="1" ht="15" customHeight="1">
      <c r="B24" s="84"/>
      <c r="C24" s="10" t="str">
        <f>'#data1'!F21</f>
        <v>Return on Assets</v>
      </c>
      <c r="D24" s="10"/>
      <c r="E24" s="21">
        <f>'#data1'!I21</f>
        <v>2.8255489842654091E-2</v>
      </c>
      <c r="F24" s="21">
        <f>'#data1'!J21</f>
        <v>3.3429046298412299E-2</v>
      </c>
      <c r="G24" s="10"/>
      <c r="H24" s="19">
        <f>'#data1'!M21</f>
        <v>-0.1547623108830336</v>
      </c>
      <c r="I24" s="85"/>
      <c r="K24" s="303"/>
      <c r="L24" s="304"/>
      <c r="M24" s="304"/>
      <c r="N24" s="304"/>
      <c r="O24" s="304"/>
      <c r="P24" s="304"/>
      <c r="Q24" s="304"/>
      <c r="R24" s="304"/>
      <c r="S24" s="304"/>
      <c r="T24" s="304"/>
      <c r="U24" s="305"/>
    </row>
    <row r="25" spans="2:21" s="4" customFormat="1" ht="15" customHeight="1">
      <c r="B25" s="84"/>
      <c r="C25" s="10" t="str">
        <f>'#data1'!F22</f>
        <v>Return on Capital Employed</v>
      </c>
      <c r="D25" s="10"/>
      <c r="E25" s="21">
        <f>'#data1'!I22</f>
        <v>1.3264950720771658</v>
      </c>
      <c r="F25" s="21">
        <f>'#data1'!J22</f>
        <v>0.74156423257218995</v>
      </c>
      <c r="G25" s="10"/>
      <c r="H25" s="19">
        <f>'#data1'!M22</f>
        <v>0.78877973587815109</v>
      </c>
      <c r="I25" s="85"/>
      <c r="K25" s="303"/>
      <c r="L25" s="304"/>
      <c r="M25" s="304"/>
      <c r="N25" s="304"/>
      <c r="O25" s="304"/>
      <c r="P25" s="304"/>
      <c r="Q25" s="304"/>
      <c r="R25" s="304"/>
      <c r="S25" s="304"/>
      <c r="T25" s="304"/>
      <c r="U25" s="305"/>
    </row>
    <row r="26" spans="2:21" s="6" customFormat="1" ht="15" customHeight="1">
      <c r="B26" s="90"/>
      <c r="C26" s="30" t="str">
        <f>'#data1'!G23</f>
        <v>ASSET USAGE</v>
      </c>
      <c r="D26" s="29"/>
      <c r="E26" s="29"/>
      <c r="F26" s="29"/>
      <c r="G26" s="29"/>
      <c r="H26" s="29"/>
      <c r="I26" s="92"/>
      <c r="K26" s="303"/>
      <c r="L26" s="304"/>
      <c r="M26" s="304"/>
      <c r="N26" s="304"/>
      <c r="O26" s="304"/>
      <c r="P26" s="304"/>
      <c r="Q26" s="304"/>
      <c r="R26" s="304"/>
      <c r="S26" s="304"/>
      <c r="T26" s="304"/>
      <c r="U26" s="305"/>
    </row>
    <row r="27" spans="2:21" s="4" customFormat="1" ht="15" customHeight="1">
      <c r="B27" s="84"/>
      <c r="C27" s="10" t="str">
        <f>'#data1'!F24</f>
        <v>Asset Turnover</v>
      </c>
      <c r="D27" s="10"/>
      <c r="E27" s="21">
        <f>'#data1'!I24</f>
        <v>1.1273916144983755</v>
      </c>
      <c r="F27" s="21">
        <f>'#data1'!J24</f>
        <v>0.64011125287320503</v>
      </c>
      <c r="G27" s="10"/>
      <c r="H27" s="19">
        <f>'#data1'!M24</f>
        <v>0.76124323613740996</v>
      </c>
      <c r="I27" s="85"/>
      <c r="K27" s="303"/>
      <c r="L27" s="304"/>
      <c r="M27" s="304"/>
      <c r="N27" s="304"/>
      <c r="O27" s="304"/>
      <c r="P27" s="304"/>
      <c r="Q27" s="304"/>
      <c r="R27" s="304"/>
      <c r="S27" s="304"/>
      <c r="T27" s="304"/>
      <c r="U27" s="305"/>
    </row>
    <row r="28" spans="2:21" s="6" customFormat="1" ht="15" customHeight="1">
      <c r="B28" s="90"/>
      <c r="C28" s="31" t="str">
        <f>'#data1'!G25</f>
        <v>LIQUIDITY</v>
      </c>
      <c r="D28" s="29"/>
      <c r="E28" s="29"/>
      <c r="F28" s="29"/>
      <c r="G28" s="29"/>
      <c r="H28" s="29"/>
      <c r="I28" s="92"/>
      <c r="K28" s="303"/>
      <c r="L28" s="304"/>
      <c r="M28" s="304"/>
      <c r="N28" s="304"/>
      <c r="O28" s="304"/>
      <c r="P28" s="304"/>
      <c r="Q28" s="304"/>
      <c r="R28" s="304"/>
      <c r="S28" s="304"/>
      <c r="T28" s="304"/>
      <c r="U28" s="305"/>
    </row>
    <row r="29" spans="2:21" s="4" customFormat="1" ht="15" customHeight="1">
      <c r="B29" s="84"/>
      <c r="C29" s="10" t="str">
        <f>'#data1'!F26</f>
        <v>Quick Ratio</v>
      </c>
      <c r="D29" s="10"/>
      <c r="E29" s="21">
        <f>'#data1'!I26</f>
        <v>11.702692282444927</v>
      </c>
      <c r="F29" s="21">
        <f>'#data1'!J26</f>
        <v>12.146863593553881</v>
      </c>
      <c r="G29" s="10"/>
      <c r="H29" s="19">
        <f>'#data1'!M26</f>
        <v>-3.6566748913247703E-2</v>
      </c>
      <c r="I29" s="85"/>
      <c r="K29" s="303"/>
      <c r="L29" s="304"/>
      <c r="M29" s="304"/>
      <c r="N29" s="304"/>
      <c r="O29" s="304"/>
      <c r="P29" s="304"/>
      <c r="Q29" s="304"/>
      <c r="R29" s="304"/>
      <c r="S29" s="304"/>
      <c r="T29" s="304"/>
      <c r="U29" s="305"/>
    </row>
    <row r="30" spans="2:21" s="4" customFormat="1" ht="15" customHeight="1">
      <c r="B30" s="84"/>
      <c r="C30" s="10" t="str">
        <f>'#data1'!F27</f>
        <v>Current Ratio</v>
      </c>
      <c r="D30" s="10"/>
      <c r="E30" s="21">
        <f>'#data1'!I27</f>
        <v>6.4491519369328101</v>
      </c>
      <c r="F30" s="21">
        <f>'#data1'!J27</f>
        <v>7.0438351987835075</v>
      </c>
      <c r="G30" s="10"/>
      <c r="H30" s="19">
        <f>'#data1'!M27</f>
        <v>-8.4426061239110353E-2</v>
      </c>
      <c r="I30" s="85"/>
      <c r="K30" s="303"/>
      <c r="L30" s="304"/>
      <c r="M30" s="304"/>
      <c r="N30" s="304"/>
      <c r="O30" s="304"/>
      <c r="P30" s="304"/>
      <c r="Q30" s="304"/>
      <c r="R30" s="304"/>
      <c r="S30" s="304"/>
      <c r="T30" s="304"/>
      <c r="U30" s="305"/>
    </row>
    <row r="31" spans="2:21" s="6" customFormat="1" ht="15" customHeight="1">
      <c r="B31" s="90"/>
      <c r="C31" s="32" t="str">
        <f>'#data1'!G28</f>
        <v>DEBT</v>
      </c>
      <c r="D31" s="29"/>
      <c r="E31" s="29"/>
      <c r="F31" s="29"/>
      <c r="G31" s="29"/>
      <c r="H31" s="29"/>
      <c r="I31" s="92"/>
      <c r="K31" s="303"/>
      <c r="L31" s="304"/>
      <c r="M31" s="304"/>
      <c r="N31" s="304"/>
      <c r="O31" s="304"/>
      <c r="P31" s="304"/>
      <c r="Q31" s="304"/>
      <c r="R31" s="304"/>
      <c r="S31" s="304"/>
      <c r="T31" s="304"/>
      <c r="U31" s="305"/>
    </row>
    <row r="32" spans="2:21" s="4" customFormat="1" ht="15" customHeight="1">
      <c r="B32" s="84"/>
      <c r="C32" s="10" t="str">
        <f>'#data1'!F29</f>
        <v>Debt to Equity</v>
      </c>
      <c r="D32" s="10"/>
      <c r="E32" s="21">
        <f>'#data1'!I29</f>
        <v>0.22797614244797967</v>
      </c>
      <c r="F32" s="21">
        <f>'#data1'!J29</f>
        <v>0.21533823396309115</v>
      </c>
      <c r="G32" s="10"/>
      <c r="H32" s="19">
        <f>'#data1'!M29</f>
        <v>5.868864182778917E-2</v>
      </c>
      <c r="I32" s="85"/>
      <c r="K32" s="303"/>
      <c r="L32" s="304"/>
      <c r="M32" s="304"/>
      <c r="N32" s="304"/>
      <c r="O32" s="304"/>
      <c r="P32" s="304"/>
      <c r="Q32" s="304"/>
      <c r="R32" s="304"/>
      <c r="S32" s="304"/>
      <c r="T32" s="304"/>
      <c r="U32" s="305"/>
    </row>
    <row r="33" spans="2:21" s="4" customFormat="1" ht="15" customHeight="1" thickBot="1">
      <c r="B33" s="84"/>
      <c r="C33" s="10" t="str">
        <f>'#data1'!F30</f>
        <v>Debt to Total Assets</v>
      </c>
      <c r="D33" s="10"/>
      <c r="E33" s="21">
        <f>'#data1'!I30</f>
        <v>0.18565193130992552</v>
      </c>
      <c r="F33" s="21">
        <f>'#data1'!J30</f>
        <v>0.17718378961953304</v>
      </c>
      <c r="G33" s="10"/>
      <c r="H33" s="19">
        <f>'#data1'!M30</f>
        <v>4.7792982126503382E-2</v>
      </c>
      <c r="I33" s="85"/>
      <c r="K33" s="306"/>
      <c r="L33" s="307"/>
      <c r="M33" s="307"/>
      <c r="N33" s="307"/>
      <c r="O33" s="307"/>
      <c r="P33" s="307"/>
      <c r="Q33" s="307"/>
      <c r="R33" s="307"/>
      <c r="S33" s="307"/>
      <c r="T33" s="307"/>
      <c r="U33" s="308"/>
    </row>
    <row r="34" spans="2:21" s="6" customFormat="1" ht="15" customHeight="1">
      <c r="B34" s="90"/>
      <c r="C34" s="33" t="str">
        <f>'#data1'!G31</f>
        <v>VERTICAL ANALYSIS</v>
      </c>
      <c r="D34" s="29"/>
      <c r="E34" s="29"/>
      <c r="F34" s="29"/>
      <c r="G34" s="29"/>
      <c r="H34" s="29"/>
      <c r="I34" s="92"/>
    </row>
    <row r="35" spans="2:21" s="4" customFormat="1" ht="15" customHeight="1">
      <c r="B35" s="84"/>
      <c r="C35" s="10" t="str">
        <f>'#data1'!F32</f>
        <v>COGS</v>
      </c>
      <c r="D35" s="10"/>
      <c r="E35" s="18">
        <f>'#data1'!I32</f>
        <v>100000</v>
      </c>
      <c r="F35" s="18">
        <f>'#data1'!J32</f>
        <v>101805.72</v>
      </c>
      <c r="G35" s="10"/>
      <c r="H35" s="19">
        <f>'#data1'!M32</f>
        <v>1.7736920872422502E-2</v>
      </c>
      <c r="I35" s="85"/>
    </row>
    <row r="36" spans="2:21" s="4" customFormat="1" ht="15" customHeight="1">
      <c r="B36" s="84"/>
      <c r="C36" s="10" t="str">
        <f>'#data1'!F33</f>
        <v>Gross Profit</v>
      </c>
      <c r="D36" s="10"/>
      <c r="E36" s="18">
        <f>'#data1'!I33</f>
        <v>241677.12</v>
      </c>
      <c r="F36" s="18">
        <f>'#data1'!J33</f>
        <v>228494.28</v>
      </c>
      <c r="G36" s="10"/>
      <c r="H36" s="19">
        <f>'#data1'!M33</f>
        <v>5.7694398301786798E-2</v>
      </c>
      <c r="I36" s="85"/>
    </row>
    <row r="37" spans="2:21" s="4" customFormat="1" ht="15" customHeight="1">
      <c r="B37" s="84"/>
      <c r="C37" s="10" t="str">
        <f>'#data1'!F34</f>
        <v>Total Expenses</v>
      </c>
      <c r="D37" s="10"/>
      <c r="E37" s="18">
        <f>'#data1'!I34</f>
        <v>41000</v>
      </c>
      <c r="F37" s="18">
        <f>'#data1'!J34</f>
        <v>20500</v>
      </c>
      <c r="G37" s="10"/>
      <c r="H37" s="19">
        <f>'#data1'!M34</f>
        <v>-1</v>
      </c>
      <c r="I37" s="85"/>
    </row>
    <row r="38" spans="2:21" s="4" customFormat="1" ht="15" customHeight="1">
      <c r="B38" s="84"/>
      <c r="C38" s="10" t="str">
        <f>'#data1'!F35</f>
        <v>Net Income</v>
      </c>
      <c r="D38" s="10"/>
      <c r="E38" s="18">
        <f>'#data1'!I35</f>
        <v>198677.12</v>
      </c>
      <c r="F38" s="18">
        <f>'#data1'!J35</f>
        <v>206994.28</v>
      </c>
      <c r="G38" s="10"/>
      <c r="H38" s="19">
        <f>'#data1'!M35</f>
        <v>-4.0180627213466977E-2</v>
      </c>
      <c r="I38" s="85"/>
    </row>
    <row r="39" spans="2:21" s="4" customFormat="1" ht="6" customHeight="1">
      <c r="B39" s="84"/>
      <c r="C39" s="35"/>
      <c r="D39" s="35"/>
      <c r="E39" s="35"/>
      <c r="F39" s="35"/>
      <c r="G39" s="35"/>
      <c r="H39" s="35"/>
      <c r="I39" s="85"/>
    </row>
    <row r="40" spans="2:21" s="4" customFormat="1" ht="15" customHeight="1" thickBot="1">
      <c r="B40" s="326"/>
      <c r="C40" s="327"/>
      <c r="D40" s="327"/>
      <c r="E40" s="327"/>
      <c r="F40" s="327"/>
      <c r="G40" s="327"/>
      <c r="H40" s="327"/>
      <c r="I40" s="328"/>
    </row>
    <row r="41" spans="2:21" s="4" customFormat="1" ht="15" customHeight="1" thickBot="1">
      <c r="B41" s="9"/>
      <c r="C41" s="322" t="s">
        <v>21</v>
      </c>
      <c r="D41" s="323"/>
      <c r="E41" s="323"/>
      <c r="F41" s="323"/>
      <c r="G41" s="323"/>
      <c r="H41" s="323"/>
      <c r="I41" s="324"/>
    </row>
    <row r="42" spans="2:21" s="4" customFormat="1" ht="15" customHeight="1" thickBot="1">
      <c r="B42" s="13"/>
      <c r="C42" s="309" t="s">
        <v>22</v>
      </c>
      <c r="D42" s="310"/>
      <c r="E42" s="310"/>
      <c r="F42" s="310"/>
      <c r="G42" s="310"/>
      <c r="H42" s="310"/>
      <c r="I42" s="93"/>
      <c r="J42" s="34"/>
    </row>
  </sheetData>
  <mergeCells count="10">
    <mergeCell ref="K3:U33"/>
    <mergeCell ref="C42:H42"/>
    <mergeCell ref="B2:I2"/>
    <mergeCell ref="B3:I3"/>
    <mergeCell ref="C4:H4"/>
    <mergeCell ref="B6:I6"/>
    <mergeCell ref="C7:H7"/>
    <mergeCell ref="C41:I41"/>
    <mergeCell ref="C10:H10"/>
    <mergeCell ref="B40:I40"/>
  </mergeCells>
  <conditionalFormatting sqref="H11:H38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5" bottom="0.5" header="0.3" footer="0.3"/>
  <pageSetup fitToWidth="0" fitToHeight="0" orientation="portrait" useFirstPageNumber="1" r:id="rId1"/>
  <headerFooter>
    <oddHeader>&amp;L&amp;"Arial"&amp;C&amp;"Arial"&amp;R&amp;"Arial"</oddHeader>
    <oddFooter>&amp;L&amp;"Arial"&amp;C&amp;"Arial"&amp;R&amp;"Arial"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8D62C-28A0-46BF-817A-C0666C7374F3}">
  <sheetPr>
    <tabColor rgb="FF00B050"/>
  </sheetPr>
  <dimension ref="A1:G48"/>
  <sheetViews>
    <sheetView workbookViewId="0">
      <pane xSplit="1" ySplit="6" topLeftCell="B17" activePane="bottomRight" state="frozen"/>
      <selection pane="topRight" activeCell="B1" sqref="B1"/>
      <selection pane="bottomLeft" activeCell="A7" sqref="A7"/>
      <selection pane="bottomRight" activeCell="E4" sqref="E4"/>
    </sheetView>
  </sheetViews>
  <sheetFormatPr defaultColWidth="11.140625" defaultRowHeight="15.75"/>
  <cols>
    <col min="1" max="1" width="40.5703125" style="36" bestFit="1" customWidth="1"/>
    <col min="2" max="2" width="17.42578125" style="36" customWidth="1"/>
    <col min="3" max="3" width="16.7109375" style="36" customWidth="1"/>
    <col min="4" max="16384" width="11.140625" style="36"/>
  </cols>
  <sheetData>
    <row r="1" spans="1:7" ht="12.75" customHeight="1">
      <c r="A1" s="329"/>
      <c r="B1" s="330"/>
      <c r="C1" s="331"/>
      <c r="D1" s="186"/>
      <c r="E1" s="186"/>
      <c r="F1" s="186"/>
      <c r="G1" s="186"/>
    </row>
    <row r="2" spans="1:7" ht="15" customHeight="1">
      <c r="A2" s="190"/>
      <c r="B2" s="187"/>
      <c r="C2" s="191"/>
      <c r="D2" s="37"/>
      <c r="E2" s="37"/>
      <c r="F2" s="37"/>
      <c r="G2" s="37"/>
    </row>
    <row r="3" spans="1:7" ht="15" customHeight="1">
      <c r="A3" s="190"/>
      <c r="B3" s="187"/>
      <c r="C3" s="191"/>
      <c r="D3" s="37"/>
      <c r="E3" s="37"/>
      <c r="F3" s="37"/>
      <c r="G3" s="37"/>
    </row>
    <row r="4" spans="1:7" ht="15" customHeight="1">
      <c r="A4" s="192" t="s">
        <v>24</v>
      </c>
      <c r="B4" s="188" t="s">
        <v>25</v>
      </c>
      <c r="C4" s="193" t="s">
        <v>26</v>
      </c>
      <c r="D4" s="37"/>
      <c r="E4" s="37"/>
      <c r="F4" s="37"/>
      <c r="G4" s="37"/>
    </row>
    <row r="5" spans="1:7" ht="15" customHeight="1">
      <c r="A5" s="190"/>
      <c r="B5" s="187"/>
      <c r="C5" s="191"/>
      <c r="D5" s="37"/>
      <c r="E5" s="37"/>
      <c r="F5" s="37"/>
      <c r="G5" s="37"/>
    </row>
    <row r="6" spans="1:7" s="218" customFormat="1" ht="44.25" customHeight="1">
      <c r="A6" s="216"/>
      <c r="B6" s="224" t="s">
        <v>27</v>
      </c>
      <c r="C6" s="225" t="s">
        <v>28</v>
      </c>
      <c r="D6" s="217"/>
      <c r="E6" s="217"/>
      <c r="F6" s="217"/>
      <c r="G6" s="217"/>
    </row>
    <row r="7" spans="1:7" ht="15" customHeight="1">
      <c r="A7" s="194"/>
      <c r="B7" s="189"/>
      <c r="C7" s="195"/>
    </row>
    <row r="8" spans="1:7" ht="15" customHeight="1">
      <c r="A8" s="194"/>
      <c r="B8" s="189"/>
      <c r="C8" s="195"/>
    </row>
    <row r="9" spans="1:7" ht="15" customHeight="1">
      <c r="A9" s="194"/>
      <c r="B9" s="189"/>
      <c r="C9" s="195"/>
    </row>
    <row r="10" spans="1:7" ht="15" customHeight="1">
      <c r="A10" s="194"/>
      <c r="B10" s="189"/>
      <c r="C10" s="195"/>
    </row>
    <row r="11" spans="1:7" ht="15" customHeight="1">
      <c r="A11" s="190"/>
      <c r="B11" s="187"/>
      <c r="C11" s="191"/>
      <c r="D11" s="37"/>
      <c r="E11" s="37"/>
      <c r="F11" s="37"/>
      <c r="G11" s="37"/>
    </row>
    <row r="12" spans="1:7" ht="15" customHeight="1">
      <c r="A12" s="194"/>
      <c r="B12" s="189"/>
      <c r="C12" s="195"/>
    </row>
    <row r="13" spans="1:7" ht="15" customHeight="1">
      <c r="A13" s="190"/>
      <c r="B13" s="187"/>
      <c r="C13" s="191"/>
      <c r="D13" s="37"/>
      <c r="E13" s="37"/>
      <c r="F13" s="37"/>
      <c r="G13" s="37"/>
    </row>
    <row r="14" spans="1:7" ht="15" customHeight="1">
      <c r="A14" s="190"/>
      <c r="B14" s="187"/>
      <c r="C14" s="191"/>
      <c r="D14" s="37"/>
      <c r="E14" s="37"/>
      <c r="F14" s="37"/>
      <c r="G14" s="37"/>
    </row>
    <row r="15" spans="1:7" ht="15" customHeight="1">
      <c r="A15" s="221" t="s">
        <v>138</v>
      </c>
      <c r="B15" s="248"/>
      <c r="C15" s="249"/>
      <c r="D15" s="37"/>
      <c r="E15" s="37"/>
      <c r="F15" s="37"/>
      <c r="G15" s="37"/>
    </row>
    <row r="16" spans="1:7" ht="15" customHeight="1">
      <c r="A16" s="190" t="s">
        <v>29</v>
      </c>
      <c r="B16" s="248">
        <v>108000</v>
      </c>
      <c r="C16" s="249">
        <v>234000</v>
      </c>
      <c r="D16" s="37"/>
      <c r="E16" s="37"/>
      <c r="F16" s="37"/>
      <c r="G16" s="37"/>
    </row>
    <row r="17" spans="1:7" ht="15" customHeight="1">
      <c r="A17" s="190" t="s">
        <v>30</v>
      </c>
      <c r="B17" s="248">
        <v>77000</v>
      </c>
      <c r="C17" s="249">
        <v>80829.649999999994</v>
      </c>
      <c r="D17" s="37"/>
      <c r="E17" s="37"/>
      <c r="F17" s="37"/>
      <c r="G17" s="37"/>
    </row>
    <row r="18" spans="1:7" ht="15" customHeight="1">
      <c r="A18" s="190" t="s">
        <v>31</v>
      </c>
      <c r="B18" s="248">
        <v>36000</v>
      </c>
      <c r="C18" s="249">
        <v>79500</v>
      </c>
    </row>
    <row r="19" spans="1:7" ht="15" customHeight="1">
      <c r="A19" s="190" t="s">
        <v>32</v>
      </c>
      <c r="B19" s="248">
        <v>24000</v>
      </c>
      <c r="C19" s="249">
        <v>52500</v>
      </c>
    </row>
    <row r="20" spans="1:7" ht="15" customHeight="1">
      <c r="A20" s="190" t="s">
        <v>33</v>
      </c>
      <c r="B20" s="248">
        <v>12000</v>
      </c>
      <c r="C20" s="249">
        <v>26500</v>
      </c>
    </row>
    <row r="21" spans="1:7" ht="15" customHeight="1">
      <c r="A21" s="190" t="s">
        <v>30</v>
      </c>
      <c r="B21" s="248">
        <v>24000</v>
      </c>
      <c r="C21" s="249">
        <v>24000</v>
      </c>
    </row>
    <row r="22" spans="1:7" ht="15" customHeight="1">
      <c r="A22" s="190" t="s">
        <v>34</v>
      </c>
      <c r="B22" s="248">
        <v>10000</v>
      </c>
      <c r="C22" s="249">
        <v>20000</v>
      </c>
    </row>
    <row r="23" spans="1:7" ht="15" customHeight="1">
      <c r="A23" s="190" t="s">
        <v>35</v>
      </c>
      <c r="B23" s="248">
        <v>12000</v>
      </c>
      <c r="C23" s="249">
        <v>13020</v>
      </c>
    </row>
    <row r="24" spans="1:7" ht="15" customHeight="1">
      <c r="A24" s="190" t="s">
        <v>36</v>
      </c>
      <c r="B24" s="248">
        <v>9000</v>
      </c>
      <c r="C24" s="249">
        <v>10000</v>
      </c>
    </row>
    <row r="25" spans="1:7" ht="15" customHeight="1">
      <c r="A25" s="190" t="s">
        <v>34</v>
      </c>
      <c r="B25" s="248">
        <v>6000</v>
      </c>
      <c r="C25" s="249">
        <v>6000</v>
      </c>
    </row>
    <row r="26" spans="1:7" ht="15" customHeight="1">
      <c r="A26" s="190" t="s">
        <v>37</v>
      </c>
      <c r="B26" s="248">
        <v>3000</v>
      </c>
      <c r="C26" s="249">
        <v>5306.13</v>
      </c>
    </row>
    <row r="27" spans="1:7" ht="15" customHeight="1">
      <c r="A27" s="190" t="s">
        <v>38</v>
      </c>
      <c r="B27" s="248">
        <v>2000</v>
      </c>
      <c r="C27" s="249">
        <v>4395.3100000000004</v>
      </c>
    </row>
    <row r="28" spans="1:7" ht="15" customHeight="1">
      <c r="A28" s="190" t="s">
        <v>39</v>
      </c>
      <c r="B28" s="248">
        <v>1500</v>
      </c>
      <c r="C28" s="249">
        <v>4045.82</v>
      </c>
    </row>
    <row r="29" spans="1:7" ht="15" customHeight="1">
      <c r="A29" s="190" t="s">
        <v>36</v>
      </c>
      <c r="B29" s="248">
        <v>3000</v>
      </c>
      <c r="C29" s="249">
        <v>3000</v>
      </c>
    </row>
    <row r="30" spans="1:7" ht="15" customHeight="1">
      <c r="A30" s="190" t="s">
        <v>40</v>
      </c>
      <c r="B30" s="248">
        <v>2509</v>
      </c>
      <c r="C30" s="249">
        <v>2890.76</v>
      </c>
    </row>
    <row r="31" spans="1:7" ht="15" customHeight="1">
      <c r="A31" s="190" t="s">
        <v>41</v>
      </c>
      <c r="B31" s="248">
        <v>1670</v>
      </c>
      <c r="C31" s="249">
        <v>1860</v>
      </c>
    </row>
    <row r="32" spans="1:7" ht="15" customHeight="1">
      <c r="A32" s="190" t="s">
        <v>42</v>
      </c>
      <c r="B32" s="248">
        <v>900</v>
      </c>
      <c r="C32" s="249">
        <v>1132.3699999999999</v>
      </c>
    </row>
    <row r="33" spans="1:3" ht="15" customHeight="1">
      <c r="A33" s="190" t="s">
        <v>43</v>
      </c>
      <c r="B33" s="248">
        <v>900</v>
      </c>
      <c r="C33" s="249">
        <v>1132.02</v>
      </c>
    </row>
    <row r="34" spans="1:3" ht="15" customHeight="1">
      <c r="A34" s="190" t="s">
        <v>44</v>
      </c>
      <c r="B34" s="248">
        <v>800</v>
      </c>
      <c r="C34" s="249">
        <v>995</v>
      </c>
    </row>
    <row r="35" spans="1:3" ht="15" customHeight="1">
      <c r="A35" s="190" t="s">
        <v>45</v>
      </c>
      <c r="B35" s="248">
        <v>800</v>
      </c>
      <c r="C35" s="249">
        <v>970.16</v>
      </c>
    </row>
    <row r="36" spans="1:3" ht="15" customHeight="1">
      <c r="A36" s="190" t="s">
        <v>46</v>
      </c>
      <c r="B36" s="248">
        <v>700</v>
      </c>
      <c r="C36" s="249">
        <v>720.34</v>
      </c>
    </row>
    <row r="37" spans="1:3" ht="15" customHeight="1">
      <c r="A37" s="190" t="s">
        <v>47</v>
      </c>
      <c r="B37" s="248">
        <v>600</v>
      </c>
      <c r="C37" s="249">
        <v>640.20000000000005</v>
      </c>
    </row>
    <row r="38" spans="1:3" ht="15" customHeight="1">
      <c r="A38" s="190" t="s">
        <v>48</v>
      </c>
      <c r="B38" s="248">
        <v>654</v>
      </c>
      <c r="C38" s="249">
        <v>611.94000000000005</v>
      </c>
    </row>
    <row r="39" spans="1:3" ht="15" customHeight="1">
      <c r="A39" s="190" t="s">
        <v>49</v>
      </c>
      <c r="B39" s="248">
        <v>678</v>
      </c>
      <c r="C39" s="249">
        <v>481.96</v>
      </c>
    </row>
    <row r="40" spans="1:3" ht="15" customHeight="1">
      <c r="A40" s="190" t="s">
        <v>50</v>
      </c>
      <c r="B40" s="248">
        <v>876</v>
      </c>
      <c r="C40" s="249">
        <v>396</v>
      </c>
    </row>
    <row r="41" spans="1:3" ht="15" customHeight="1">
      <c r="A41" s="190" t="s">
        <v>51</v>
      </c>
      <c r="B41" s="248">
        <v>444</v>
      </c>
      <c r="C41" s="249">
        <v>366.84</v>
      </c>
    </row>
    <row r="42" spans="1:3" ht="15" customHeight="1">
      <c r="A42" s="190" t="s">
        <v>52</v>
      </c>
      <c r="B42" s="248">
        <v>333</v>
      </c>
      <c r="C42" s="249">
        <v>299</v>
      </c>
    </row>
    <row r="43" spans="1:3" ht="15" customHeight="1">
      <c r="A43" s="190" t="s">
        <v>53</v>
      </c>
      <c r="B43" s="248">
        <v>100</v>
      </c>
      <c r="C43" s="249">
        <v>185</v>
      </c>
    </row>
    <row r="44" spans="1:3" ht="15" customHeight="1">
      <c r="A44" s="190" t="s">
        <v>54</v>
      </c>
      <c r="B44" s="248">
        <v>22</v>
      </c>
      <c r="C44" s="249">
        <v>149.32</v>
      </c>
    </row>
    <row r="45" spans="1:3" ht="15" customHeight="1">
      <c r="A45" s="190" t="s">
        <v>36</v>
      </c>
      <c r="B45" s="248">
        <v>400</v>
      </c>
      <c r="C45" s="249">
        <v>100</v>
      </c>
    </row>
    <row r="46" spans="1:3" ht="15" customHeight="1">
      <c r="A46" s="190" t="s">
        <v>34</v>
      </c>
      <c r="B46" s="248">
        <v>300</v>
      </c>
      <c r="C46" s="249">
        <v>100</v>
      </c>
    </row>
    <row r="47" spans="1:3" ht="15" customHeight="1">
      <c r="A47" s="190" t="s">
        <v>30</v>
      </c>
      <c r="B47" s="248">
        <v>555</v>
      </c>
      <c r="C47" s="249">
        <v>77</v>
      </c>
    </row>
    <row r="48" spans="1:3" s="220" customFormat="1" ht="15" customHeight="1" thickBot="1">
      <c r="A48" s="219" t="s">
        <v>55</v>
      </c>
      <c r="B48" s="250">
        <v>246000</v>
      </c>
      <c r="C48" s="251">
        <v>575927.81999999995</v>
      </c>
    </row>
  </sheetData>
  <mergeCells count="1">
    <mergeCell ref="A1:C1"/>
  </mergeCells>
  <pageMargins left="0.7" right="0.7" top="0.75" bottom="0.75" header="0.3" footer="0.3"/>
  <pageSetup fitToWidth="0" fitToHeight="0" orientation="portrait" useFirstPageNumber="1"/>
  <headerFooter>
    <oddHeader>&amp;L&amp;"Arial"&amp;C&amp;"Arial"&amp;R&amp;"Arial"</oddHeader>
    <oddFooter>&amp;L&amp;"Arial"&amp;C&amp;"Arial"&amp;R&amp;"Arial"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8EDB-4089-4C21-9CBD-6EB9D9A430ED}">
  <sheetPr>
    <tabColor rgb="FF00B050"/>
    <pageSetUpPr fitToPage="1"/>
  </sheetPr>
  <dimension ref="A1:U28"/>
  <sheetViews>
    <sheetView zoomScale="90" zoomScaleNormal="90" workbookViewId="0"/>
  </sheetViews>
  <sheetFormatPr defaultColWidth="11.140625" defaultRowHeight="15.75"/>
  <cols>
    <col min="1" max="1" width="2.140625" style="36" customWidth="1"/>
    <col min="2" max="2" width="25" style="36" customWidth="1"/>
    <col min="3" max="3" width="20.28515625" style="36" customWidth="1"/>
    <col min="4" max="4" width="17.85546875" style="36" customWidth="1"/>
    <col min="5" max="5" width="10.5703125" style="36" customWidth="1"/>
    <col min="6" max="6" width="1.7109375" style="36" customWidth="1"/>
    <col min="7" max="7" width="15.28515625" style="36" customWidth="1"/>
    <col min="8" max="8" width="24.85546875" style="36" customWidth="1"/>
    <col min="9" max="9" width="30" style="36" customWidth="1"/>
    <col min="10" max="10" width="2.140625" style="36" customWidth="1"/>
    <col min="11" max="11" width="0.7109375" style="36" customWidth="1"/>
    <col min="12" max="12" width="3.85546875" style="36" customWidth="1"/>
    <col min="13" max="20" width="11.140625" style="36"/>
    <col min="21" max="21" width="3.7109375" style="36" customWidth="1"/>
    <col min="22" max="16384" width="11.140625" style="36"/>
  </cols>
  <sheetData>
    <row r="1" spans="1:21" ht="16.5" thickBot="1"/>
    <row r="2" spans="1:21" ht="18" customHeight="1">
      <c r="A2" s="38"/>
      <c r="B2" s="335" t="s">
        <v>17</v>
      </c>
      <c r="C2" s="336"/>
      <c r="D2" s="336"/>
      <c r="E2" s="336"/>
      <c r="F2" s="336"/>
      <c r="G2" s="336"/>
      <c r="H2" s="336"/>
      <c r="I2" s="337"/>
      <c r="J2" s="39"/>
      <c r="K2" s="39"/>
      <c r="L2" s="354"/>
      <c r="M2" s="301"/>
      <c r="N2" s="301"/>
      <c r="O2" s="301"/>
      <c r="P2" s="301"/>
      <c r="Q2" s="301"/>
      <c r="R2" s="301"/>
      <c r="S2" s="301"/>
      <c r="T2" s="301"/>
      <c r="U2" s="302"/>
    </row>
    <row r="3" spans="1:21" ht="15" customHeight="1">
      <c r="A3" s="38"/>
      <c r="B3" s="338"/>
      <c r="C3" s="339"/>
      <c r="D3" s="339"/>
      <c r="E3" s="339"/>
      <c r="F3" s="339"/>
      <c r="G3" s="339"/>
      <c r="H3" s="339"/>
      <c r="I3" s="340"/>
      <c r="J3" s="40"/>
      <c r="K3" s="40"/>
      <c r="L3" s="303"/>
      <c r="M3" s="355"/>
      <c r="N3" s="355"/>
      <c r="O3" s="355"/>
      <c r="P3" s="355"/>
      <c r="Q3" s="355"/>
      <c r="R3" s="355"/>
      <c r="S3" s="355"/>
      <c r="T3" s="355"/>
      <c r="U3" s="305"/>
    </row>
    <row r="4" spans="1:21" ht="13.5" customHeight="1">
      <c r="A4" s="38"/>
      <c r="B4" s="94"/>
      <c r="C4" s="95"/>
      <c r="D4" s="95"/>
      <c r="E4" s="95"/>
      <c r="F4" s="95"/>
      <c r="G4" s="95"/>
      <c r="H4" s="95"/>
      <c r="I4" s="96"/>
      <c r="J4" s="41"/>
      <c r="K4" s="41"/>
      <c r="L4" s="303"/>
      <c r="M4" s="355"/>
      <c r="N4" s="355"/>
      <c r="O4" s="355"/>
      <c r="P4" s="355"/>
      <c r="Q4" s="355"/>
      <c r="R4" s="355"/>
      <c r="S4" s="355"/>
      <c r="T4" s="355"/>
      <c r="U4" s="305"/>
    </row>
    <row r="5" spans="1:21" ht="15" customHeight="1">
      <c r="A5" s="38"/>
      <c r="B5" s="341" t="s">
        <v>56</v>
      </c>
      <c r="C5" s="342"/>
      <c r="D5" s="342"/>
      <c r="E5" s="342"/>
      <c r="F5" s="342"/>
      <c r="G5" s="342"/>
      <c r="H5" s="342"/>
      <c r="I5" s="97"/>
      <c r="L5" s="303"/>
      <c r="M5" s="355"/>
      <c r="N5" s="355"/>
      <c r="O5" s="355"/>
      <c r="P5" s="355"/>
      <c r="Q5" s="355"/>
      <c r="R5" s="355"/>
      <c r="S5" s="355"/>
      <c r="T5" s="355"/>
      <c r="U5" s="305"/>
    </row>
    <row r="6" spans="1:21" ht="13.5" customHeight="1">
      <c r="A6" s="38"/>
      <c r="B6" s="252"/>
      <c r="C6" s="253"/>
      <c r="D6" s="253"/>
      <c r="E6" s="253"/>
      <c r="F6" s="253"/>
      <c r="G6" s="253"/>
      <c r="H6" s="253"/>
      <c r="I6" s="97"/>
      <c r="L6" s="303"/>
      <c r="M6" s="355"/>
      <c r="N6" s="355"/>
      <c r="O6" s="355"/>
      <c r="P6" s="355"/>
      <c r="Q6" s="355"/>
      <c r="R6" s="355"/>
      <c r="S6" s="355"/>
      <c r="T6" s="355"/>
      <c r="U6" s="305"/>
    </row>
    <row r="7" spans="1:21" ht="4.5" customHeight="1">
      <c r="A7" s="42"/>
      <c r="B7" s="98"/>
      <c r="C7" s="99"/>
      <c r="D7" s="99"/>
      <c r="E7" s="100"/>
      <c r="F7" s="100"/>
      <c r="G7" s="100"/>
      <c r="H7" s="101"/>
      <c r="I7" s="102"/>
      <c r="L7" s="303"/>
      <c r="M7" s="355"/>
      <c r="N7" s="355"/>
      <c r="O7" s="355"/>
      <c r="P7" s="355"/>
      <c r="Q7" s="355"/>
      <c r="R7" s="355"/>
      <c r="S7" s="355"/>
      <c r="T7" s="355"/>
      <c r="U7" s="305"/>
    </row>
    <row r="8" spans="1:21" ht="15" customHeight="1">
      <c r="A8" s="42"/>
      <c r="B8" s="343" t="str">
        <f>"Expenses YTD"</f>
        <v>Expenses YTD</v>
      </c>
      <c r="C8" s="345" t="str">
        <f>"Expenses Same Period Last Year"</f>
        <v>Expenses Same Period Last Year</v>
      </c>
      <c r="D8" s="347" t="str">
        <f>"Diff"</f>
        <v>Diff</v>
      </c>
      <c r="E8" s="348"/>
      <c r="F8" s="100"/>
      <c r="G8" s="43"/>
      <c r="H8" s="44"/>
      <c r="I8" s="103"/>
      <c r="L8" s="303"/>
      <c r="M8" s="355"/>
      <c r="N8" s="355"/>
      <c r="O8" s="355"/>
      <c r="P8" s="355"/>
      <c r="Q8" s="355"/>
      <c r="R8" s="355"/>
      <c r="S8" s="355"/>
      <c r="T8" s="355"/>
      <c r="U8" s="305"/>
    </row>
    <row r="9" spans="1:21" ht="27" customHeight="1">
      <c r="A9" s="42"/>
      <c r="B9" s="344"/>
      <c r="C9" s="346"/>
      <c r="D9" s="349"/>
      <c r="E9" s="350"/>
      <c r="F9" s="100"/>
      <c r="G9" s="351" t="str">
        <f>"Year Over Year Top 10 Expenses by Account"</f>
        <v>Year Over Year Top 10 Expenses by Account</v>
      </c>
      <c r="H9" s="352"/>
      <c r="I9" s="353"/>
      <c r="L9" s="303"/>
      <c r="M9" s="355"/>
      <c r="N9" s="355"/>
      <c r="O9" s="355"/>
      <c r="P9" s="355"/>
      <c r="Q9" s="355"/>
      <c r="R9" s="355"/>
      <c r="S9" s="355"/>
      <c r="T9" s="355"/>
      <c r="U9" s="305"/>
    </row>
    <row r="10" spans="1:21" ht="21" customHeight="1">
      <c r="A10" s="45"/>
      <c r="B10" s="104">
        <f>TETHIS</f>
        <v>575927.81999999995</v>
      </c>
      <c r="C10" s="254">
        <f>TELAST</f>
        <v>246000</v>
      </c>
      <c r="D10" s="356">
        <f>B10-C10</f>
        <v>329927.81999999995</v>
      </c>
      <c r="E10" s="357"/>
      <c r="F10" s="105"/>
      <c r="G10" s="46"/>
      <c r="H10" s="47"/>
      <c r="I10" s="106"/>
      <c r="L10" s="303"/>
      <c r="M10" s="355"/>
      <c r="N10" s="355"/>
      <c r="O10" s="355"/>
      <c r="P10" s="355"/>
      <c r="Q10" s="355"/>
      <c r="R10" s="355"/>
      <c r="S10" s="355"/>
      <c r="T10" s="355"/>
      <c r="U10" s="305"/>
    </row>
    <row r="11" spans="1:21" ht="6" customHeight="1">
      <c r="A11" s="42"/>
      <c r="B11" s="107"/>
      <c r="C11" s="100"/>
      <c r="D11" s="100"/>
      <c r="E11" s="100"/>
      <c r="F11" s="100"/>
      <c r="G11" s="100"/>
      <c r="H11" s="101"/>
      <c r="I11" s="108" t="s">
        <v>20</v>
      </c>
      <c r="J11" s="48"/>
      <c r="L11" s="303"/>
      <c r="M11" s="355"/>
      <c r="N11" s="355"/>
      <c r="O11" s="355"/>
      <c r="P11" s="355"/>
      <c r="Q11" s="355"/>
      <c r="R11" s="355"/>
      <c r="S11" s="355"/>
      <c r="T11" s="355"/>
      <c r="U11" s="305"/>
    </row>
    <row r="12" spans="1:21" ht="33.75" customHeight="1">
      <c r="A12" s="42"/>
      <c r="B12" s="358" t="str">
        <f>"Top 10 Expenses"</f>
        <v>Top 10 Expenses</v>
      </c>
      <c r="C12" s="359"/>
      <c r="D12" s="359"/>
      <c r="E12" s="360"/>
      <c r="F12" s="100"/>
      <c r="G12" s="100"/>
      <c r="H12" s="101"/>
      <c r="I12" s="102"/>
      <c r="L12" s="303"/>
      <c r="M12" s="355"/>
      <c r="N12" s="355"/>
      <c r="O12" s="355"/>
      <c r="P12" s="355"/>
      <c r="Q12" s="355"/>
      <c r="R12" s="355"/>
      <c r="S12" s="355"/>
      <c r="T12" s="355"/>
      <c r="U12" s="305"/>
    </row>
    <row r="13" spans="1:21" ht="5.25" customHeight="1">
      <c r="A13" s="42"/>
      <c r="B13" s="109"/>
      <c r="C13" s="49"/>
      <c r="D13" s="49"/>
      <c r="E13" s="50"/>
      <c r="F13" s="100"/>
      <c r="G13" s="100"/>
      <c r="H13" s="101"/>
      <c r="I13" s="102"/>
      <c r="L13" s="303"/>
      <c r="M13" s="355"/>
      <c r="N13" s="355"/>
      <c r="O13" s="355"/>
      <c r="P13" s="355"/>
      <c r="Q13" s="355"/>
      <c r="R13" s="355"/>
      <c r="S13" s="355"/>
      <c r="T13" s="355"/>
      <c r="U13" s="305"/>
    </row>
    <row r="14" spans="1:21" ht="33.75" customHeight="1">
      <c r="A14" s="42"/>
      <c r="B14" s="110" t="s">
        <v>24</v>
      </c>
      <c r="C14" s="111" t="s">
        <v>57</v>
      </c>
      <c r="D14" s="111" t="s">
        <v>58</v>
      </c>
      <c r="E14" s="51" t="s">
        <v>59</v>
      </c>
      <c r="F14" s="100"/>
      <c r="G14" s="100"/>
      <c r="H14" s="101"/>
      <c r="I14" s="102"/>
      <c r="L14" s="303"/>
      <c r="M14" s="355"/>
      <c r="N14" s="355"/>
      <c r="O14" s="355"/>
      <c r="P14" s="355"/>
      <c r="Q14" s="355"/>
      <c r="R14" s="355"/>
      <c r="S14" s="355"/>
      <c r="T14" s="355"/>
      <c r="U14" s="305"/>
    </row>
    <row r="15" spans="1:21" ht="24" customHeight="1">
      <c r="A15" s="42"/>
      <c r="B15" s="112" t="str">
        <f>'#data2'!$A$16</f>
        <v xml:space="preserve"> Insurance Expense</v>
      </c>
      <c r="C15" s="113">
        <f>'#data2'!$C$16</f>
        <v>234000</v>
      </c>
      <c r="D15" s="52">
        <f>'#data2'!$B$16</f>
        <v>108000</v>
      </c>
      <c r="E15" s="53">
        <f t="shared" ref="E15:E24" si="0">IFERROR((C15-D15)/C15,0)</f>
        <v>0.53846153846153844</v>
      </c>
      <c r="F15" s="100"/>
      <c r="G15" s="100"/>
      <c r="H15" s="101"/>
      <c r="I15" s="102"/>
      <c r="L15" s="303"/>
      <c r="M15" s="355"/>
      <c r="N15" s="355"/>
      <c r="O15" s="355"/>
      <c r="P15" s="355"/>
      <c r="Q15" s="355"/>
      <c r="R15" s="355"/>
      <c r="S15" s="355"/>
      <c r="T15" s="355"/>
      <c r="U15" s="305"/>
    </row>
    <row r="16" spans="1:21" ht="22.5" customHeight="1">
      <c r="A16" s="42"/>
      <c r="B16" s="114" t="str">
        <f>'#data2'!$A$17</f>
        <v xml:space="preserve"> Utilities</v>
      </c>
      <c r="C16" s="115">
        <f>'#data2'!$C$17</f>
        <v>80829.649999999994</v>
      </c>
      <c r="D16" s="54">
        <f>'#data2'!$B$17</f>
        <v>77000</v>
      </c>
      <c r="E16" s="55">
        <f t="shared" si="0"/>
        <v>4.7379272333852668E-2</v>
      </c>
      <c r="F16" s="100"/>
      <c r="G16" s="100"/>
      <c r="H16" s="101"/>
      <c r="I16" s="102"/>
      <c r="L16" s="303"/>
      <c r="M16" s="355"/>
      <c r="N16" s="355"/>
      <c r="O16" s="355"/>
      <c r="P16" s="355"/>
      <c r="Q16" s="355"/>
      <c r="R16" s="355"/>
      <c r="S16" s="355"/>
      <c r="T16" s="355"/>
      <c r="U16" s="305"/>
    </row>
    <row r="17" spans="1:21" ht="24" customHeight="1">
      <c r="A17" s="42"/>
      <c r="B17" s="112" t="str">
        <f>'#data2'!$A$18</f>
        <v xml:space="preserve"> TV Advertising</v>
      </c>
      <c r="C17" s="113">
        <f>'#data2'!$C$18</f>
        <v>79500</v>
      </c>
      <c r="D17" s="52">
        <f>'#data2'!$B$18</f>
        <v>36000</v>
      </c>
      <c r="E17" s="53">
        <f t="shared" si="0"/>
        <v>0.54716981132075471</v>
      </c>
      <c r="F17" s="100"/>
      <c r="G17" s="100"/>
      <c r="H17" s="101"/>
      <c r="I17" s="102"/>
      <c r="L17" s="303"/>
      <c r="M17" s="355"/>
      <c r="N17" s="355"/>
      <c r="O17" s="355"/>
      <c r="P17" s="355"/>
      <c r="Q17" s="355"/>
      <c r="R17" s="355"/>
      <c r="S17" s="355"/>
      <c r="T17" s="355"/>
      <c r="U17" s="305"/>
    </row>
    <row r="18" spans="1:21" ht="24" customHeight="1">
      <c r="A18" s="42"/>
      <c r="B18" s="114" t="str">
        <f>'#data2'!$A$19</f>
        <v xml:space="preserve"> Janitorial Expense</v>
      </c>
      <c r="C18" s="115">
        <f>'#data2'!$C$19</f>
        <v>52500</v>
      </c>
      <c r="D18" s="54">
        <f>'#data2'!$B$19</f>
        <v>24000</v>
      </c>
      <c r="E18" s="55">
        <f t="shared" si="0"/>
        <v>0.54285714285714282</v>
      </c>
      <c r="F18" s="100"/>
      <c r="G18" s="100"/>
      <c r="H18" s="101"/>
      <c r="I18" s="102"/>
      <c r="L18" s="303"/>
      <c r="M18" s="355"/>
      <c r="N18" s="355"/>
      <c r="O18" s="355"/>
      <c r="P18" s="355"/>
      <c r="Q18" s="355"/>
      <c r="R18" s="355"/>
      <c r="S18" s="355"/>
      <c r="T18" s="355"/>
      <c r="U18" s="305"/>
    </row>
    <row r="19" spans="1:21" ht="24" customHeight="1">
      <c r="A19" s="42"/>
      <c r="B19" s="112" t="str">
        <f>'#data2'!$A$20</f>
        <v xml:space="preserve"> Landscaping</v>
      </c>
      <c r="C19" s="113">
        <f>'#data2'!$C$20</f>
        <v>26500</v>
      </c>
      <c r="D19" s="52">
        <f>'#data2'!$B$20</f>
        <v>12000</v>
      </c>
      <c r="E19" s="53">
        <f t="shared" si="0"/>
        <v>0.54716981132075471</v>
      </c>
      <c r="F19" s="100"/>
      <c r="G19" s="100"/>
      <c r="H19" s="101"/>
      <c r="I19" s="102"/>
      <c r="L19" s="303"/>
      <c r="M19" s="355"/>
      <c r="N19" s="355"/>
      <c r="O19" s="355"/>
      <c r="P19" s="355"/>
      <c r="Q19" s="355"/>
      <c r="R19" s="355"/>
      <c r="S19" s="355"/>
      <c r="T19" s="355"/>
      <c r="U19" s="305"/>
    </row>
    <row r="20" spans="1:21" ht="24" customHeight="1">
      <c r="A20" s="42"/>
      <c r="B20" s="114" t="str">
        <f>'#data2'!$A$21</f>
        <v xml:space="preserve"> Utilities</v>
      </c>
      <c r="C20" s="115">
        <f>'#data2'!$C$21</f>
        <v>24000</v>
      </c>
      <c r="D20" s="54">
        <f>'#data2'!$B$21</f>
        <v>24000</v>
      </c>
      <c r="E20" s="55">
        <f t="shared" si="0"/>
        <v>0</v>
      </c>
      <c r="F20" s="100"/>
      <c r="G20" s="100"/>
      <c r="H20" s="101"/>
      <c r="I20" s="102"/>
      <c r="L20" s="303"/>
      <c r="M20" s="355"/>
      <c r="N20" s="355"/>
      <c r="O20" s="355"/>
      <c r="P20" s="355"/>
      <c r="Q20" s="355"/>
      <c r="R20" s="355"/>
      <c r="S20" s="355"/>
      <c r="T20" s="355"/>
      <c r="U20" s="305"/>
    </row>
    <row r="21" spans="1:21" ht="24" customHeight="1">
      <c r="A21" s="42"/>
      <c r="B21" s="112" t="str">
        <f>'#data2'!$A$22</f>
        <v xml:space="preserve"> Internet &amp; Cable</v>
      </c>
      <c r="C21" s="113">
        <f>'#data2'!$C$22</f>
        <v>20000</v>
      </c>
      <c r="D21" s="52">
        <f>'#data2'!$B$22</f>
        <v>10000</v>
      </c>
      <c r="E21" s="53">
        <f t="shared" si="0"/>
        <v>0.5</v>
      </c>
      <c r="F21" s="100"/>
      <c r="G21" s="100"/>
      <c r="H21" s="101"/>
      <c r="I21" s="102"/>
      <c r="L21" s="303"/>
      <c r="M21" s="355"/>
      <c r="N21" s="355"/>
      <c r="O21" s="355"/>
      <c r="P21" s="355"/>
      <c r="Q21" s="355"/>
      <c r="R21" s="355"/>
      <c r="S21" s="355"/>
      <c r="T21" s="355"/>
      <c r="U21" s="305"/>
    </row>
    <row r="22" spans="1:21" ht="24" customHeight="1">
      <c r="A22" s="42"/>
      <c r="B22" s="114" t="str">
        <f>'#data2'!$A$23</f>
        <v xml:space="preserve"> Rent/Lease</v>
      </c>
      <c r="C22" s="115">
        <f>'#data2'!$C$23</f>
        <v>13020</v>
      </c>
      <c r="D22" s="54">
        <f>'#data2'!$B$23</f>
        <v>12000</v>
      </c>
      <c r="E22" s="55">
        <f t="shared" si="0"/>
        <v>7.8341013824884786E-2</v>
      </c>
      <c r="F22" s="100"/>
      <c r="G22" s="100"/>
      <c r="H22" s="101"/>
      <c r="I22" s="102"/>
      <c r="L22" s="303"/>
      <c r="M22" s="355"/>
      <c r="N22" s="355"/>
      <c r="O22" s="355"/>
      <c r="P22" s="355"/>
      <c r="Q22" s="355"/>
      <c r="R22" s="355"/>
      <c r="S22" s="355"/>
      <c r="T22" s="355"/>
      <c r="U22" s="305"/>
    </row>
    <row r="23" spans="1:21" ht="24" customHeight="1">
      <c r="A23" s="42"/>
      <c r="B23" s="112" t="str">
        <f>'#data2'!$A$24</f>
        <v xml:space="preserve"> 68100 Telephone Expense</v>
      </c>
      <c r="C23" s="113">
        <f>'#data2'!$C$24</f>
        <v>10000</v>
      </c>
      <c r="D23" s="52">
        <f>'#data2'!$B$24</f>
        <v>9000</v>
      </c>
      <c r="E23" s="53">
        <f t="shared" si="0"/>
        <v>0.1</v>
      </c>
      <c r="F23" s="100"/>
      <c r="G23" s="100"/>
      <c r="H23" s="101"/>
      <c r="I23" s="102"/>
      <c r="L23" s="303"/>
      <c r="M23" s="355"/>
      <c r="N23" s="355"/>
      <c r="O23" s="355"/>
      <c r="P23" s="355"/>
      <c r="Q23" s="355"/>
      <c r="R23" s="355"/>
      <c r="S23" s="355"/>
      <c r="T23" s="355"/>
      <c r="U23" s="305"/>
    </row>
    <row r="24" spans="1:21" ht="24" customHeight="1">
      <c r="A24" s="42"/>
      <c r="B24" s="116" t="str">
        <f>'#data2'!$A$25</f>
        <v xml:space="preserve"> Internet &amp; Cable</v>
      </c>
      <c r="C24" s="56">
        <f>'#data2'!$C$25</f>
        <v>6000</v>
      </c>
      <c r="D24" s="57">
        <f>'#data2'!$B$25</f>
        <v>6000</v>
      </c>
      <c r="E24" s="58">
        <f t="shared" si="0"/>
        <v>0</v>
      </c>
      <c r="F24" s="100"/>
      <c r="G24" s="100"/>
      <c r="H24" s="101"/>
      <c r="I24" s="102"/>
      <c r="L24" s="303"/>
      <c r="M24" s="355"/>
      <c r="N24" s="355"/>
      <c r="O24" s="355"/>
      <c r="P24" s="355"/>
      <c r="Q24" s="355"/>
      <c r="R24" s="355"/>
      <c r="S24" s="355"/>
      <c r="T24" s="355"/>
      <c r="U24" s="305"/>
    </row>
    <row r="25" spans="1:21" ht="13.5" customHeight="1" thickBot="1">
      <c r="A25" s="38"/>
      <c r="B25" s="117"/>
      <c r="C25" s="101"/>
      <c r="D25" s="101"/>
      <c r="E25" s="101"/>
      <c r="F25" s="101"/>
      <c r="G25" s="101"/>
      <c r="H25" s="101"/>
      <c r="I25" s="97"/>
      <c r="J25" s="48"/>
      <c r="L25" s="306"/>
      <c r="M25" s="307"/>
      <c r="N25" s="307"/>
      <c r="O25" s="307"/>
      <c r="P25" s="307"/>
      <c r="Q25" s="307"/>
      <c r="R25" s="307"/>
      <c r="S25" s="307"/>
      <c r="T25" s="307"/>
      <c r="U25" s="308"/>
    </row>
    <row r="26" spans="1:21" ht="15" customHeight="1" thickBot="1">
      <c r="A26" s="59"/>
      <c r="B26" s="361"/>
      <c r="C26" s="362"/>
      <c r="D26" s="362"/>
      <c r="E26" s="362"/>
      <c r="F26" s="362"/>
      <c r="G26" s="362"/>
      <c r="H26" s="362"/>
      <c r="I26" s="363"/>
      <c r="M26" s="4"/>
      <c r="N26" s="4"/>
      <c r="O26" s="4"/>
      <c r="P26" s="4"/>
      <c r="Q26" s="4"/>
      <c r="R26" s="4"/>
      <c r="S26" s="4"/>
      <c r="T26" s="4"/>
    </row>
    <row r="27" spans="1:21" ht="15" customHeight="1" thickBot="1">
      <c r="A27" s="38"/>
      <c r="B27" s="364" t="s">
        <v>21</v>
      </c>
      <c r="C27" s="365"/>
      <c r="D27" s="365"/>
      <c r="E27" s="365"/>
      <c r="F27" s="365"/>
      <c r="G27" s="365"/>
      <c r="H27" s="365"/>
      <c r="I27" s="366"/>
    </row>
    <row r="28" spans="1:21" ht="15" customHeight="1" thickBot="1">
      <c r="A28" s="38"/>
      <c r="B28" s="332" t="s">
        <v>60</v>
      </c>
      <c r="C28" s="333"/>
      <c r="D28" s="333"/>
      <c r="E28" s="333"/>
      <c r="F28" s="333"/>
      <c r="G28" s="333"/>
      <c r="H28" s="333"/>
      <c r="I28" s="334"/>
    </row>
  </sheetData>
  <mergeCells count="13">
    <mergeCell ref="L2:U25"/>
    <mergeCell ref="D10:E10"/>
    <mergeCell ref="B12:E12"/>
    <mergeCell ref="B26:I26"/>
    <mergeCell ref="B27:I27"/>
    <mergeCell ref="B28:I28"/>
    <mergeCell ref="B2:I2"/>
    <mergeCell ref="B3:I3"/>
    <mergeCell ref="B5:H5"/>
    <mergeCell ref="B8:B9"/>
    <mergeCell ref="C8:C9"/>
    <mergeCell ref="D8:E9"/>
    <mergeCell ref="G9:I9"/>
  </mergeCells>
  <printOptions horizontalCentered="1" verticalCentered="1"/>
  <pageMargins left="0.25" right="0.25" top="0.5" bottom="0.5" header="0.3" footer="0.3"/>
  <pageSetup fitToHeight="0" orientation="landscape" useFirstPageNumber="1"/>
  <headerFooter>
    <oddHeader>&amp;L&amp;"Arial"&amp;C&amp;"Arial"&amp;R&amp;"Arial"</oddHeader>
    <oddFooter>&amp;L&amp;"Arial"&amp;C&amp;"Arial"&amp;R&amp;"Arial"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F0A2-23DE-4286-92D5-7D105497EEFD}">
  <sheetPr>
    <tabColor rgb="FF00B0F0"/>
  </sheetPr>
  <dimension ref="A1:Y4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L38" sqref="L38"/>
    </sheetView>
  </sheetViews>
  <sheetFormatPr defaultColWidth="10.28515625" defaultRowHeight="15"/>
  <cols>
    <col min="1" max="1" width="13.28515625" style="222" customWidth="1"/>
    <col min="2" max="25" width="11" style="60" customWidth="1"/>
    <col min="26" max="16384" width="10.28515625" style="60"/>
  </cols>
  <sheetData>
    <row r="1" spans="1:25" ht="15" customHeight="1">
      <c r="A1" s="276"/>
      <c r="B1" s="277"/>
      <c r="C1" s="278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80"/>
    </row>
    <row r="2" spans="1:25" s="61" customFormat="1" ht="32.25" customHeight="1">
      <c r="A2" s="281"/>
      <c r="B2" s="223" t="s">
        <v>61</v>
      </c>
      <c r="C2" s="223" t="s">
        <v>62</v>
      </c>
      <c r="D2" s="223" t="s">
        <v>63</v>
      </c>
      <c r="E2" s="223" t="s">
        <v>64</v>
      </c>
      <c r="F2" s="223" t="s">
        <v>65</v>
      </c>
      <c r="G2" s="223" t="s">
        <v>66</v>
      </c>
      <c r="H2" s="223" t="s">
        <v>67</v>
      </c>
      <c r="I2" s="223" t="s">
        <v>68</v>
      </c>
      <c r="J2" s="223" t="s">
        <v>69</v>
      </c>
      <c r="K2" s="223" t="s">
        <v>70</v>
      </c>
      <c r="L2" s="223" t="s">
        <v>71</v>
      </c>
      <c r="M2" s="223" t="s">
        <v>4</v>
      </c>
      <c r="N2" s="223" t="s">
        <v>72</v>
      </c>
      <c r="O2" s="223" t="s">
        <v>73</v>
      </c>
      <c r="P2" s="223" t="s">
        <v>74</v>
      </c>
      <c r="Q2" s="223" t="s">
        <v>75</v>
      </c>
      <c r="R2" s="223" t="s">
        <v>76</v>
      </c>
      <c r="S2" s="223" t="s">
        <v>77</v>
      </c>
      <c r="T2" s="223" t="s">
        <v>78</v>
      </c>
      <c r="U2" s="223" t="s">
        <v>79</v>
      </c>
      <c r="V2" s="223" t="s">
        <v>80</v>
      </c>
      <c r="W2" s="223" t="s">
        <v>81</v>
      </c>
      <c r="X2" s="223" t="s">
        <v>82</v>
      </c>
      <c r="Y2" s="282" t="s">
        <v>3</v>
      </c>
    </row>
    <row r="3" spans="1:25" ht="15" customHeight="1">
      <c r="A3" s="283" t="s">
        <v>83</v>
      </c>
      <c r="B3" s="196">
        <v>330300</v>
      </c>
      <c r="C3" s="196">
        <v>330300</v>
      </c>
      <c r="D3" s="196">
        <v>330300</v>
      </c>
      <c r="E3" s="196">
        <v>330300</v>
      </c>
      <c r="F3" s="196">
        <v>330300</v>
      </c>
      <c r="G3" s="196">
        <v>330300</v>
      </c>
      <c r="H3" s="196">
        <v>330300</v>
      </c>
      <c r="I3" s="196">
        <v>330300</v>
      </c>
      <c r="J3" s="196">
        <v>330300</v>
      </c>
      <c r="K3" s="196">
        <v>330300</v>
      </c>
      <c r="L3" s="196">
        <v>330300</v>
      </c>
      <c r="M3" s="196">
        <v>330300</v>
      </c>
      <c r="N3" s="196">
        <v>810262</v>
      </c>
      <c r="O3" s="196">
        <v>832227</v>
      </c>
      <c r="P3" s="196">
        <v>833602.19</v>
      </c>
      <c r="Q3" s="196">
        <v>826830</v>
      </c>
      <c r="R3" s="196">
        <v>808872</v>
      </c>
      <c r="S3" s="196">
        <v>660600</v>
      </c>
      <c r="T3" s="196">
        <v>664310</v>
      </c>
      <c r="U3" s="196">
        <v>660600</v>
      </c>
      <c r="V3" s="196">
        <v>658771</v>
      </c>
      <c r="W3" s="196">
        <v>660600</v>
      </c>
      <c r="X3" s="196">
        <v>660600</v>
      </c>
      <c r="Y3" s="284">
        <v>660600</v>
      </c>
    </row>
    <row r="4" spans="1:25" ht="15" customHeight="1" thickBot="1">
      <c r="A4" s="285" t="s">
        <v>7</v>
      </c>
      <c r="B4" s="286">
        <v>206994.28</v>
      </c>
      <c r="C4" s="286">
        <v>206994.28</v>
      </c>
      <c r="D4" s="286">
        <v>206994.28</v>
      </c>
      <c r="E4" s="286">
        <v>206994.28</v>
      </c>
      <c r="F4" s="286">
        <v>206994.28</v>
      </c>
      <c r="G4" s="286">
        <v>206994.28</v>
      </c>
      <c r="H4" s="286">
        <v>206994.28</v>
      </c>
      <c r="I4" s="286">
        <v>206994.28</v>
      </c>
      <c r="J4" s="286">
        <v>206994.28</v>
      </c>
      <c r="K4" s="286">
        <v>206994.28</v>
      </c>
      <c r="L4" s="286">
        <v>206994.28</v>
      </c>
      <c r="M4" s="286">
        <v>206994.28</v>
      </c>
      <c r="N4" s="286">
        <v>240642.4</v>
      </c>
      <c r="O4" s="286">
        <v>264248.40000000002</v>
      </c>
      <c r="P4" s="286">
        <v>265722.84999999998</v>
      </c>
      <c r="Q4" s="286">
        <v>257279.57</v>
      </c>
      <c r="R4" s="286">
        <v>249742.07999999999</v>
      </c>
      <c r="S4" s="286">
        <v>207232.41</v>
      </c>
      <c r="T4" s="286">
        <v>214087.12</v>
      </c>
      <c r="U4" s="286">
        <v>176877.12</v>
      </c>
      <c r="V4" s="286">
        <v>208548.12</v>
      </c>
      <c r="W4" s="286">
        <v>196877.12</v>
      </c>
      <c r="X4" s="286">
        <v>210377.12</v>
      </c>
      <c r="Y4" s="287">
        <v>198677.12</v>
      </c>
    </row>
  </sheetData>
  <pageMargins left="0.7" right="0.7" top="0.75" bottom="0.75" header="0.3" footer="0.3"/>
  <pageSetup fitToWidth="0" fitToHeight="0" orientation="portrait" useFirstPageNumber="1" r:id="rId1"/>
  <headerFooter>
    <oddHeader>&amp;L&amp;"Arial"&amp;C&amp;"Arial"&amp;R&amp;"Arial"</oddHeader>
    <oddFooter>&amp;L&amp;"Arial"&amp;C&amp;"Arial"&amp;R&amp;"Arial"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A16C-18DF-4983-ACE1-69E8CA1FA906}">
  <sheetPr>
    <tabColor rgb="FF00B0F0"/>
    <pageSetUpPr fitToPage="1"/>
  </sheetPr>
  <dimension ref="A1:HV985"/>
  <sheetViews>
    <sheetView zoomScale="90" zoomScaleNormal="90" workbookViewId="0"/>
  </sheetViews>
  <sheetFormatPr defaultColWidth="10.28515625" defaultRowHeight="15.75"/>
  <cols>
    <col min="1" max="1" width="2.5703125" style="64" customWidth="1"/>
    <col min="2" max="2" width="20.140625" style="64" customWidth="1"/>
    <col min="3" max="14" width="13" style="64" customWidth="1"/>
    <col min="15" max="15" width="0.7109375" style="64" customWidth="1"/>
    <col min="16" max="16" width="1.85546875" style="64" customWidth="1"/>
    <col min="17" max="17" width="0.140625" style="64" customWidth="1"/>
    <col min="18" max="18" width="0.42578125" style="36" customWidth="1"/>
    <col min="19" max="19" width="9" style="36" customWidth="1"/>
    <col min="20" max="26" width="10.28515625" style="36"/>
    <col min="27" max="27" width="2.42578125" style="36" customWidth="1"/>
    <col min="28" max="230" width="10.28515625" style="64"/>
    <col min="231" max="16384" width="10.28515625" style="60"/>
  </cols>
  <sheetData>
    <row r="1" spans="1:27" ht="16.5" thickBot="1"/>
    <row r="2" spans="1:27" s="64" customFormat="1" ht="17.25" customHeight="1">
      <c r="A2" s="62"/>
      <c r="B2" s="370" t="s">
        <v>17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118"/>
      <c r="P2" s="63"/>
      <c r="R2" s="354"/>
      <c r="S2" s="301"/>
      <c r="T2" s="301"/>
      <c r="U2" s="301"/>
      <c r="V2" s="301"/>
      <c r="W2" s="301"/>
      <c r="X2" s="301"/>
      <c r="Y2" s="301"/>
      <c r="Z2" s="301"/>
      <c r="AA2" s="302"/>
    </row>
    <row r="3" spans="1:27" s="64" customFormat="1" ht="13.5" customHeight="1">
      <c r="A3" s="62"/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4"/>
      <c r="P3" s="63"/>
      <c r="R3" s="303"/>
      <c r="S3" s="355"/>
      <c r="T3" s="355"/>
      <c r="U3" s="355"/>
      <c r="V3" s="355"/>
      <c r="W3" s="355"/>
      <c r="X3" s="355"/>
      <c r="Y3" s="355"/>
      <c r="Z3" s="355"/>
      <c r="AA3" s="305"/>
    </row>
    <row r="4" spans="1:27" s="64" customFormat="1" ht="7.5" customHeight="1">
      <c r="A4" s="62"/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N4" s="121"/>
      <c r="O4" s="122"/>
      <c r="P4" s="63"/>
      <c r="R4" s="303"/>
      <c r="S4" s="355"/>
      <c r="T4" s="355"/>
      <c r="U4" s="355"/>
      <c r="V4" s="355"/>
      <c r="W4" s="355"/>
      <c r="X4" s="355"/>
      <c r="Y4" s="355"/>
      <c r="Z4" s="355"/>
      <c r="AA4" s="305"/>
    </row>
    <row r="5" spans="1:27" s="64" customFormat="1" ht="14.25" customHeight="1">
      <c r="A5" s="62"/>
      <c r="B5" s="375" t="s">
        <v>84</v>
      </c>
      <c r="C5" s="376"/>
      <c r="D5" s="376"/>
      <c r="E5" s="376"/>
      <c r="F5" s="376"/>
      <c r="G5" s="376"/>
      <c r="H5" s="376"/>
      <c r="I5" s="123"/>
      <c r="J5" s="377"/>
      <c r="K5" s="377"/>
      <c r="L5" s="377"/>
      <c r="M5" s="124"/>
      <c r="N5" s="124"/>
      <c r="O5" s="122"/>
      <c r="P5" s="63"/>
      <c r="R5" s="303"/>
      <c r="S5" s="355"/>
      <c r="T5" s="355"/>
      <c r="U5" s="355"/>
      <c r="V5" s="355"/>
      <c r="W5" s="355"/>
      <c r="X5" s="355"/>
      <c r="Y5" s="355"/>
      <c r="Z5" s="355"/>
      <c r="AA5" s="305"/>
    </row>
    <row r="6" spans="1:27" s="64" customFormat="1" ht="7.5" customHeight="1">
      <c r="A6" s="62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4"/>
      <c r="N6" s="124"/>
      <c r="O6" s="122"/>
      <c r="P6" s="63"/>
      <c r="R6" s="303"/>
      <c r="S6" s="355"/>
      <c r="T6" s="355"/>
      <c r="U6" s="355"/>
      <c r="V6" s="355"/>
      <c r="W6" s="355"/>
      <c r="X6" s="355"/>
      <c r="Y6" s="355"/>
      <c r="Z6" s="355"/>
      <c r="AA6" s="305"/>
    </row>
    <row r="7" spans="1:27" s="64" customFormat="1" ht="15" customHeight="1">
      <c r="A7" s="62"/>
      <c r="B7" s="127" t="s">
        <v>85</v>
      </c>
      <c r="C7" s="65" t="s">
        <v>86</v>
      </c>
      <c r="D7" s="65" t="s">
        <v>87</v>
      </c>
      <c r="E7" s="65" t="s">
        <v>88</v>
      </c>
      <c r="F7" s="65" t="s">
        <v>89</v>
      </c>
      <c r="G7" s="65" t="s">
        <v>90</v>
      </c>
      <c r="H7" s="65" t="s">
        <v>91</v>
      </c>
      <c r="I7" s="65" t="s">
        <v>92</v>
      </c>
      <c r="J7" s="65" t="s">
        <v>93</v>
      </c>
      <c r="K7" s="65" t="s">
        <v>94</v>
      </c>
      <c r="L7" s="65" t="s">
        <v>95</v>
      </c>
      <c r="M7" s="65" t="s">
        <v>96</v>
      </c>
      <c r="N7" s="65" t="s">
        <v>97</v>
      </c>
      <c r="O7" s="128"/>
      <c r="P7" s="63"/>
      <c r="R7" s="303"/>
      <c r="S7" s="355"/>
      <c r="T7" s="355"/>
      <c r="U7" s="355"/>
      <c r="V7" s="355"/>
      <c r="W7" s="355"/>
      <c r="X7" s="355"/>
      <c r="Y7" s="355"/>
      <c r="Z7" s="355"/>
      <c r="AA7" s="305"/>
    </row>
    <row r="8" spans="1:27" s="64" customFormat="1" ht="12.75" customHeight="1">
      <c r="A8" s="62"/>
      <c r="B8" s="129" t="s">
        <v>98</v>
      </c>
      <c r="C8" s="130">
        <f>'#data3'!B3</f>
        <v>330300</v>
      </c>
      <c r="D8" s="130">
        <f ca="1">OFFSET('#data3'!B3,,1,,)</f>
        <v>330300</v>
      </c>
      <c r="E8" s="130">
        <f ca="1">OFFSET('#data3'!B3,,2,,)</f>
        <v>330300</v>
      </c>
      <c r="F8" s="130">
        <f ca="1">OFFSET('#data3'!B3,,3,,)</f>
        <v>330300</v>
      </c>
      <c r="G8" s="130">
        <f ca="1">OFFSET('#data3'!B3,,4,,)</f>
        <v>330300</v>
      </c>
      <c r="H8" s="130">
        <f ca="1">OFFSET('#data3'!B3,,5,,)</f>
        <v>330300</v>
      </c>
      <c r="I8" s="130">
        <f ca="1">OFFSET('#data3'!B3,,6,,)</f>
        <v>330300</v>
      </c>
      <c r="J8" s="130">
        <f ca="1">OFFSET('#data3'!B3,,7,,)</f>
        <v>330300</v>
      </c>
      <c r="K8" s="130">
        <f ca="1">OFFSET('#data3'!B3,,8,,)</f>
        <v>330300</v>
      </c>
      <c r="L8" s="130">
        <f ca="1">OFFSET('#data3'!B3,,9,,)</f>
        <v>330300</v>
      </c>
      <c r="M8" s="130">
        <f ca="1">OFFSET('#data3'!B3,,10,,)</f>
        <v>330300</v>
      </c>
      <c r="N8" s="130">
        <f ca="1">OFFSET('#data3'!B3,,11,,)</f>
        <v>330300</v>
      </c>
      <c r="O8" s="122"/>
      <c r="P8" s="63"/>
      <c r="R8" s="303"/>
      <c r="S8" s="355"/>
      <c r="T8" s="355"/>
      <c r="U8" s="355"/>
      <c r="V8" s="355"/>
      <c r="W8" s="355"/>
      <c r="X8" s="355"/>
      <c r="Y8" s="355"/>
      <c r="Z8" s="355"/>
      <c r="AA8" s="305"/>
    </row>
    <row r="9" spans="1:27" s="64" customFormat="1" ht="12.75" customHeight="1">
      <c r="A9" s="62"/>
      <c r="B9" s="129" t="s">
        <v>99</v>
      </c>
      <c r="C9" s="130">
        <f ca="1">OFFSET('#data3'!B3,,12,,)</f>
        <v>810262</v>
      </c>
      <c r="D9" s="130">
        <f ca="1">OFFSET('#data3'!B3,,13,,)</f>
        <v>832227</v>
      </c>
      <c r="E9" s="130">
        <f ca="1">OFFSET('#data3'!B3,,14,,)</f>
        <v>833602.19</v>
      </c>
      <c r="F9" s="130">
        <f ca="1">OFFSET('#data3'!B3,,15,,)</f>
        <v>826830</v>
      </c>
      <c r="G9" s="130">
        <f ca="1">OFFSET('#data3'!B3,,16,,)</f>
        <v>808872</v>
      </c>
      <c r="H9" s="130">
        <f ca="1">OFFSET('#data3'!B3,,17,,)</f>
        <v>660600</v>
      </c>
      <c r="I9" s="130">
        <f ca="1">OFFSET('#data3'!B3,,18,,)</f>
        <v>664310</v>
      </c>
      <c r="J9" s="130">
        <f ca="1">OFFSET('#data3'!B3,,19,,)</f>
        <v>660600</v>
      </c>
      <c r="K9" s="130">
        <f ca="1">OFFSET('#data3'!B3,,20,,)</f>
        <v>658771</v>
      </c>
      <c r="L9" s="130">
        <f ca="1">OFFSET('#data3'!B3,,21,,)</f>
        <v>660600</v>
      </c>
      <c r="M9" s="130">
        <f ca="1">OFFSET('#data3'!B3,,22,,)</f>
        <v>660600</v>
      </c>
      <c r="N9" s="130">
        <f ca="1">OFFSET('#data3'!B3,,23,,)</f>
        <v>660600</v>
      </c>
      <c r="O9" s="122"/>
      <c r="P9" s="63"/>
      <c r="R9" s="303"/>
      <c r="S9" s="355"/>
      <c r="T9" s="355"/>
      <c r="U9" s="355"/>
      <c r="V9" s="355"/>
      <c r="W9" s="355"/>
      <c r="X9" s="355"/>
      <c r="Y9" s="355"/>
      <c r="Z9" s="355"/>
      <c r="AA9" s="305"/>
    </row>
    <row r="10" spans="1:27" s="67" customFormat="1" ht="15.75" customHeight="1">
      <c r="A10" s="66"/>
      <c r="B10" s="129" t="s">
        <v>100</v>
      </c>
      <c r="C10" s="131">
        <f t="shared" ref="C10:N10" ca="1" si="0">C9-C8</f>
        <v>479962</v>
      </c>
      <c r="D10" s="131">
        <f t="shared" ca="1" si="0"/>
        <v>501927</v>
      </c>
      <c r="E10" s="131">
        <f t="shared" ca="1" si="0"/>
        <v>503302.18999999994</v>
      </c>
      <c r="F10" s="131">
        <f t="shared" ca="1" si="0"/>
        <v>496530</v>
      </c>
      <c r="G10" s="131">
        <f t="shared" ca="1" si="0"/>
        <v>478572</v>
      </c>
      <c r="H10" s="131">
        <f t="shared" ca="1" si="0"/>
        <v>330300</v>
      </c>
      <c r="I10" s="131">
        <f t="shared" ca="1" si="0"/>
        <v>334010</v>
      </c>
      <c r="J10" s="131">
        <f t="shared" ca="1" si="0"/>
        <v>330300</v>
      </c>
      <c r="K10" s="131">
        <f t="shared" ca="1" si="0"/>
        <v>328471</v>
      </c>
      <c r="L10" s="131">
        <f t="shared" ca="1" si="0"/>
        <v>330300</v>
      </c>
      <c r="M10" s="131">
        <f t="shared" ca="1" si="0"/>
        <v>330300</v>
      </c>
      <c r="N10" s="131">
        <f t="shared" ca="1" si="0"/>
        <v>330300</v>
      </c>
      <c r="O10" s="122"/>
      <c r="P10" s="63"/>
      <c r="R10" s="303"/>
      <c r="S10" s="355"/>
      <c r="T10" s="355"/>
      <c r="U10" s="355"/>
      <c r="V10" s="355"/>
      <c r="W10" s="355"/>
      <c r="X10" s="355"/>
      <c r="Y10" s="355"/>
      <c r="Z10" s="355"/>
      <c r="AA10" s="305"/>
    </row>
    <row r="11" spans="1:27" s="64" customFormat="1" ht="2.25" customHeight="1">
      <c r="A11" s="62"/>
      <c r="B11" s="132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33"/>
      <c r="P11" s="63"/>
      <c r="R11" s="303"/>
      <c r="S11" s="355"/>
      <c r="T11" s="355"/>
      <c r="U11" s="355"/>
      <c r="V11" s="355"/>
      <c r="W11" s="355"/>
      <c r="X11" s="355"/>
      <c r="Y11" s="355"/>
      <c r="Z11" s="355"/>
      <c r="AA11" s="305"/>
    </row>
    <row r="12" spans="1:27" s="64" customFormat="1" ht="15" customHeight="1">
      <c r="A12" s="62"/>
      <c r="B12" s="13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2"/>
      <c r="P12" s="63"/>
      <c r="R12" s="303"/>
      <c r="S12" s="355"/>
      <c r="T12" s="355"/>
      <c r="U12" s="355"/>
      <c r="V12" s="355"/>
      <c r="W12" s="355"/>
      <c r="X12" s="355"/>
      <c r="Y12" s="355"/>
      <c r="Z12" s="355"/>
      <c r="AA12" s="305"/>
    </row>
    <row r="13" spans="1:27" s="64" customFormat="1" ht="15" customHeight="1">
      <c r="A13" s="62"/>
      <c r="B13" s="13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2"/>
      <c r="P13" s="63"/>
      <c r="R13" s="303"/>
      <c r="S13" s="355"/>
      <c r="T13" s="355"/>
      <c r="U13" s="355"/>
      <c r="V13" s="355"/>
      <c r="W13" s="355"/>
      <c r="X13" s="355"/>
      <c r="Y13" s="355"/>
      <c r="Z13" s="355"/>
      <c r="AA13" s="305"/>
    </row>
    <row r="14" spans="1:27" s="64" customFormat="1" ht="15" customHeight="1">
      <c r="A14" s="62"/>
      <c r="B14" s="13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2"/>
      <c r="P14" s="63"/>
      <c r="R14" s="303"/>
      <c r="S14" s="355"/>
      <c r="T14" s="355"/>
      <c r="U14" s="355"/>
      <c r="V14" s="355"/>
      <c r="W14" s="355"/>
      <c r="X14" s="355"/>
      <c r="Y14" s="355"/>
      <c r="Z14" s="355"/>
      <c r="AA14" s="305"/>
    </row>
    <row r="15" spans="1:27" s="64" customFormat="1" ht="15" customHeight="1">
      <c r="A15" s="62"/>
      <c r="B15" s="13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2"/>
      <c r="P15" s="63"/>
      <c r="R15" s="303"/>
      <c r="S15" s="355"/>
      <c r="T15" s="355"/>
      <c r="U15" s="355"/>
      <c r="V15" s="355"/>
      <c r="W15" s="355"/>
      <c r="X15" s="355"/>
      <c r="Y15" s="355"/>
      <c r="Z15" s="355"/>
      <c r="AA15" s="305"/>
    </row>
    <row r="16" spans="1:27" s="64" customFormat="1" ht="15" customHeight="1">
      <c r="A16" s="62"/>
      <c r="B16" s="13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2"/>
      <c r="P16" s="63"/>
      <c r="R16" s="303"/>
      <c r="S16" s="355"/>
      <c r="T16" s="355"/>
      <c r="U16" s="355"/>
      <c r="V16" s="355"/>
      <c r="W16" s="355"/>
      <c r="X16" s="355"/>
      <c r="Y16" s="355"/>
      <c r="Z16" s="355"/>
      <c r="AA16" s="305"/>
    </row>
    <row r="17" spans="1:27" s="64" customFormat="1" ht="15" customHeight="1">
      <c r="A17" s="62"/>
      <c r="B17" s="13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2"/>
      <c r="P17" s="63"/>
      <c r="R17" s="303"/>
      <c r="S17" s="355"/>
      <c r="T17" s="355"/>
      <c r="U17" s="355"/>
      <c r="V17" s="355"/>
      <c r="W17" s="355"/>
      <c r="X17" s="355"/>
      <c r="Y17" s="355"/>
      <c r="Z17" s="355"/>
      <c r="AA17" s="305"/>
    </row>
    <row r="18" spans="1:27" s="64" customFormat="1" ht="15" customHeight="1">
      <c r="A18" s="62"/>
      <c r="B18" s="13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2"/>
      <c r="P18" s="63"/>
      <c r="R18" s="303"/>
      <c r="S18" s="355"/>
      <c r="T18" s="355"/>
      <c r="U18" s="355"/>
      <c r="V18" s="355"/>
      <c r="W18" s="355"/>
      <c r="X18" s="355"/>
      <c r="Y18" s="355"/>
      <c r="Z18" s="355"/>
      <c r="AA18" s="305"/>
    </row>
    <row r="19" spans="1:27" s="64" customFormat="1" ht="15" customHeight="1">
      <c r="A19" s="62"/>
      <c r="B19" s="13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2"/>
      <c r="P19" s="63"/>
      <c r="R19" s="303"/>
      <c r="S19" s="355"/>
      <c r="T19" s="355"/>
      <c r="U19" s="355"/>
      <c r="V19" s="355"/>
      <c r="W19" s="355"/>
      <c r="X19" s="355"/>
      <c r="Y19" s="355"/>
      <c r="Z19" s="355"/>
      <c r="AA19" s="305"/>
    </row>
    <row r="20" spans="1:27" s="64" customFormat="1" ht="15" customHeight="1">
      <c r="A20" s="62"/>
      <c r="B20" s="13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2"/>
      <c r="P20" s="63"/>
      <c r="R20" s="303"/>
      <c r="S20" s="355"/>
      <c r="T20" s="355"/>
      <c r="U20" s="355"/>
      <c r="V20" s="355"/>
      <c r="W20" s="355"/>
      <c r="X20" s="355"/>
      <c r="Y20" s="355"/>
      <c r="Z20" s="355"/>
      <c r="AA20" s="305"/>
    </row>
    <row r="21" spans="1:27" s="64" customFormat="1" ht="15" customHeight="1">
      <c r="A21" s="62"/>
      <c r="B21" s="13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2"/>
      <c r="P21" s="63"/>
      <c r="R21" s="303"/>
      <c r="S21" s="355"/>
      <c r="T21" s="355"/>
      <c r="U21" s="355"/>
      <c r="V21" s="355"/>
      <c r="W21" s="355"/>
      <c r="X21" s="355"/>
      <c r="Y21" s="355"/>
      <c r="Z21" s="355"/>
      <c r="AA21" s="305"/>
    </row>
    <row r="22" spans="1:27" s="64" customFormat="1" ht="15" customHeight="1">
      <c r="A22" s="62"/>
      <c r="B22" s="13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2"/>
      <c r="P22" s="63"/>
      <c r="R22" s="303"/>
      <c r="S22" s="355"/>
      <c r="T22" s="355"/>
      <c r="U22" s="355"/>
      <c r="V22" s="355"/>
      <c r="W22" s="355"/>
      <c r="X22" s="355"/>
      <c r="Y22" s="355"/>
      <c r="Z22" s="355"/>
      <c r="AA22" s="305"/>
    </row>
    <row r="23" spans="1:27" s="64" customFormat="1" ht="15" customHeight="1">
      <c r="A23" s="62"/>
      <c r="B23" s="13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2"/>
      <c r="P23" s="63"/>
      <c r="R23" s="303"/>
      <c r="S23" s="355"/>
      <c r="T23" s="355"/>
      <c r="U23" s="355"/>
      <c r="V23" s="355"/>
      <c r="W23" s="355"/>
      <c r="X23" s="355"/>
      <c r="Y23" s="355"/>
      <c r="Z23" s="355"/>
      <c r="AA23" s="305"/>
    </row>
    <row r="24" spans="1:27" s="64" customFormat="1" ht="15" customHeight="1">
      <c r="A24" s="62"/>
      <c r="B24" s="13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2"/>
      <c r="P24" s="63"/>
      <c r="R24" s="303"/>
      <c r="S24" s="355"/>
      <c r="T24" s="355"/>
      <c r="U24" s="355"/>
      <c r="V24" s="355"/>
      <c r="W24" s="355"/>
      <c r="X24" s="355"/>
      <c r="Y24" s="355"/>
      <c r="Z24" s="355"/>
      <c r="AA24" s="305"/>
    </row>
    <row r="25" spans="1:27" s="64" customFormat="1" ht="7.5" customHeight="1">
      <c r="A25" s="62"/>
      <c r="B25" s="13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2"/>
      <c r="P25" s="63"/>
      <c r="R25" s="303"/>
      <c r="S25" s="355"/>
      <c r="T25" s="355"/>
      <c r="U25" s="355"/>
      <c r="V25" s="355"/>
      <c r="W25" s="355"/>
      <c r="X25" s="355"/>
      <c r="Y25" s="355"/>
      <c r="Z25" s="355"/>
      <c r="AA25" s="305"/>
    </row>
    <row r="26" spans="1:27" s="64" customFormat="1" ht="6" customHeight="1">
      <c r="A26" s="62"/>
      <c r="B26" s="372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4"/>
      <c r="P26" s="63"/>
      <c r="R26" s="303"/>
      <c r="S26" s="355"/>
      <c r="T26" s="355"/>
      <c r="U26" s="355"/>
      <c r="V26" s="355"/>
      <c r="W26" s="355"/>
      <c r="X26" s="355"/>
      <c r="Y26" s="355"/>
      <c r="Z26" s="355"/>
      <c r="AA26" s="305"/>
    </row>
    <row r="27" spans="1:27" s="64" customFormat="1" ht="7.5" customHeight="1">
      <c r="A27" s="62"/>
      <c r="B27" s="13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2"/>
      <c r="P27" s="63"/>
      <c r="R27" s="303"/>
      <c r="S27" s="355"/>
      <c r="T27" s="355"/>
      <c r="U27" s="355"/>
      <c r="V27" s="355"/>
      <c r="W27" s="355"/>
      <c r="X27" s="355"/>
      <c r="Y27" s="355"/>
      <c r="Z27" s="355"/>
      <c r="AA27" s="305"/>
    </row>
    <row r="28" spans="1:27" s="64" customFormat="1" ht="14.25" customHeight="1">
      <c r="A28" s="69"/>
      <c r="B28" s="375" t="s">
        <v>101</v>
      </c>
      <c r="C28" s="376"/>
      <c r="D28" s="376"/>
      <c r="E28" s="376"/>
      <c r="F28" s="376"/>
      <c r="G28" s="376"/>
      <c r="H28" s="376"/>
      <c r="I28" s="123"/>
      <c r="J28" s="377"/>
      <c r="K28" s="377"/>
      <c r="L28" s="377"/>
      <c r="M28" s="124"/>
      <c r="N28" s="124"/>
      <c r="O28" s="122"/>
      <c r="R28" s="303"/>
      <c r="S28" s="355"/>
      <c r="T28" s="355"/>
      <c r="U28" s="355"/>
      <c r="V28" s="355"/>
      <c r="W28" s="355"/>
      <c r="X28" s="355"/>
      <c r="Y28" s="355"/>
      <c r="Z28" s="355"/>
      <c r="AA28" s="305"/>
    </row>
    <row r="29" spans="1:27" s="64" customFormat="1" ht="7.5" customHeight="1">
      <c r="A29" s="69"/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4"/>
      <c r="N29" s="124"/>
      <c r="O29" s="122"/>
      <c r="R29" s="303"/>
      <c r="S29" s="355"/>
      <c r="T29" s="355"/>
      <c r="U29" s="355"/>
      <c r="V29" s="355"/>
      <c r="W29" s="355"/>
      <c r="X29" s="355"/>
      <c r="Y29" s="355"/>
      <c r="Z29" s="355"/>
      <c r="AA29" s="305"/>
    </row>
    <row r="30" spans="1:27" s="71" customFormat="1" ht="15" customHeight="1">
      <c r="A30" s="70"/>
      <c r="B30" s="127" t="s">
        <v>85</v>
      </c>
      <c r="C30" s="65" t="s">
        <v>86</v>
      </c>
      <c r="D30" s="65" t="s">
        <v>87</v>
      </c>
      <c r="E30" s="65" t="s">
        <v>88</v>
      </c>
      <c r="F30" s="65" t="s">
        <v>89</v>
      </c>
      <c r="G30" s="65" t="s">
        <v>90</v>
      </c>
      <c r="H30" s="65" t="s">
        <v>91</v>
      </c>
      <c r="I30" s="65" t="s">
        <v>92</v>
      </c>
      <c r="J30" s="65" t="s">
        <v>93</v>
      </c>
      <c r="K30" s="65" t="s">
        <v>94</v>
      </c>
      <c r="L30" s="65" t="s">
        <v>95</v>
      </c>
      <c r="M30" s="65" t="s">
        <v>96</v>
      </c>
      <c r="N30" s="65" t="s">
        <v>97</v>
      </c>
      <c r="O30" s="135"/>
      <c r="R30" s="303"/>
      <c r="S30" s="355"/>
      <c r="T30" s="355"/>
      <c r="U30" s="355"/>
      <c r="V30" s="355"/>
      <c r="W30" s="355"/>
      <c r="X30" s="355"/>
      <c r="Y30" s="355"/>
      <c r="Z30" s="355"/>
      <c r="AA30" s="305"/>
    </row>
    <row r="31" spans="1:27" s="73" customFormat="1" ht="12.75" customHeight="1">
      <c r="A31" s="72"/>
      <c r="B31" s="129" t="s">
        <v>102</v>
      </c>
      <c r="C31" s="130">
        <f>'#data3'!B4</f>
        <v>206994.28</v>
      </c>
      <c r="D31" s="130">
        <f ca="1">OFFSET('#data3'!B4,,1,,)</f>
        <v>206994.28</v>
      </c>
      <c r="E31" s="130">
        <f ca="1">OFFSET('#data3'!B4,,2,,)</f>
        <v>206994.28</v>
      </c>
      <c r="F31" s="130">
        <f ca="1">OFFSET('#data3'!B4,,3,,)</f>
        <v>206994.28</v>
      </c>
      <c r="G31" s="130">
        <f ca="1">OFFSET('#data3'!B4,,4,,)</f>
        <v>206994.28</v>
      </c>
      <c r="H31" s="130">
        <f ca="1">OFFSET('#data3'!B4,,5,,)</f>
        <v>206994.28</v>
      </c>
      <c r="I31" s="130">
        <f ca="1">OFFSET('#data3'!B4,,6,,)</f>
        <v>206994.28</v>
      </c>
      <c r="J31" s="130">
        <f ca="1">OFFSET('#data3'!B4,,7,,)</f>
        <v>206994.28</v>
      </c>
      <c r="K31" s="130">
        <f ca="1">OFFSET('#data3'!B4,,8,,)</f>
        <v>206994.28</v>
      </c>
      <c r="L31" s="130">
        <f ca="1">OFFSET('#data3'!B4,,9,,)</f>
        <v>206994.28</v>
      </c>
      <c r="M31" s="130">
        <f ca="1">OFFSET('#data3'!B4,,10,,)</f>
        <v>206994.28</v>
      </c>
      <c r="N31" s="130">
        <f ca="1">OFFSET('#data3'!B4,,11,,)</f>
        <v>206994.28</v>
      </c>
      <c r="O31" s="136"/>
      <c r="R31" s="303"/>
      <c r="S31" s="355"/>
      <c r="T31" s="355"/>
      <c r="U31" s="355"/>
      <c r="V31" s="355"/>
      <c r="W31" s="355"/>
      <c r="X31" s="355"/>
      <c r="Y31" s="355"/>
      <c r="Z31" s="355"/>
      <c r="AA31" s="305"/>
    </row>
    <row r="32" spans="1:27" s="73" customFormat="1" ht="12.75" customHeight="1">
      <c r="A32" s="72"/>
      <c r="B32" s="129" t="s">
        <v>103</v>
      </c>
      <c r="C32" s="130">
        <f ca="1">OFFSET('#data3'!B4,,12,,)</f>
        <v>240642.4</v>
      </c>
      <c r="D32" s="130">
        <f ca="1">OFFSET('#data3'!B4,,13,,)</f>
        <v>264248.40000000002</v>
      </c>
      <c r="E32" s="130">
        <f ca="1">OFFSET('#data3'!B4,,14,,)</f>
        <v>265722.84999999998</v>
      </c>
      <c r="F32" s="130">
        <f ca="1">OFFSET('#data3'!B4,,15,,)</f>
        <v>257279.57</v>
      </c>
      <c r="G32" s="130">
        <f ca="1">OFFSET('#data3'!B4,,16,,)</f>
        <v>249742.07999999999</v>
      </c>
      <c r="H32" s="130">
        <f ca="1">OFFSET('#data3'!B4,,17,,)</f>
        <v>207232.41</v>
      </c>
      <c r="I32" s="130">
        <f ca="1">OFFSET('#data3'!B4,,18,,)</f>
        <v>214087.12</v>
      </c>
      <c r="J32" s="130">
        <f ca="1">OFFSET('#data3'!B4,,19,,)</f>
        <v>176877.12</v>
      </c>
      <c r="K32" s="130">
        <f ca="1">OFFSET('#data3'!B4,,20,,)</f>
        <v>208548.12</v>
      </c>
      <c r="L32" s="130">
        <f ca="1">OFFSET('#data3'!B4,,21,,)</f>
        <v>196877.12</v>
      </c>
      <c r="M32" s="130">
        <f ca="1">OFFSET('#data3'!B4,,22,,)</f>
        <v>210377.12</v>
      </c>
      <c r="N32" s="130">
        <f ca="1">OFFSET('#data3'!B4,,23,,)</f>
        <v>198677.12</v>
      </c>
      <c r="O32" s="136"/>
      <c r="R32" s="303"/>
      <c r="S32" s="355"/>
      <c r="T32" s="355"/>
      <c r="U32" s="355"/>
      <c r="V32" s="355"/>
      <c r="W32" s="355"/>
      <c r="X32" s="355"/>
      <c r="Y32" s="355"/>
      <c r="Z32" s="355"/>
      <c r="AA32" s="305"/>
    </row>
    <row r="33" spans="1:27" s="73" customFormat="1" ht="12.75" customHeight="1" thickBot="1">
      <c r="A33" s="72"/>
      <c r="B33" s="129" t="s">
        <v>100</v>
      </c>
      <c r="C33" s="131">
        <f t="shared" ref="C33:N33" ca="1" si="1">C32-C31</f>
        <v>33648.119999999995</v>
      </c>
      <c r="D33" s="131">
        <f t="shared" ca="1" si="1"/>
        <v>57254.120000000024</v>
      </c>
      <c r="E33" s="131">
        <f t="shared" ca="1" si="1"/>
        <v>58728.569999999978</v>
      </c>
      <c r="F33" s="131">
        <f t="shared" ca="1" si="1"/>
        <v>50285.290000000008</v>
      </c>
      <c r="G33" s="131">
        <f t="shared" ca="1" si="1"/>
        <v>42747.799999999988</v>
      </c>
      <c r="H33" s="131">
        <f t="shared" ca="1" si="1"/>
        <v>238.13000000000466</v>
      </c>
      <c r="I33" s="131">
        <f t="shared" ca="1" si="1"/>
        <v>7092.8399999999965</v>
      </c>
      <c r="J33" s="131">
        <f t="shared" ca="1" si="1"/>
        <v>-30117.160000000003</v>
      </c>
      <c r="K33" s="131">
        <f t="shared" ca="1" si="1"/>
        <v>1553.8399999999965</v>
      </c>
      <c r="L33" s="131">
        <f t="shared" ca="1" si="1"/>
        <v>-10117.160000000003</v>
      </c>
      <c r="M33" s="131">
        <f t="shared" ca="1" si="1"/>
        <v>3382.8399999999965</v>
      </c>
      <c r="N33" s="131">
        <f t="shared" ca="1" si="1"/>
        <v>-8317.1600000000035</v>
      </c>
      <c r="O33" s="136"/>
      <c r="R33" s="306"/>
      <c r="S33" s="307"/>
      <c r="T33" s="307"/>
      <c r="U33" s="307"/>
      <c r="V33" s="307"/>
      <c r="W33" s="307"/>
      <c r="X33" s="307"/>
      <c r="Y33" s="307"/>
      <c r="Z33" s="307"/>
      <c r="AA33" s="308"/>
    </row>
    <row r="34" spans="1:27" s="64" customFormat="1" ht="2.25" customHeight="1">
      <c r="A34" s="69"/>
      <c r="B34" s="13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133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s="64" customFormat="1" ht="15" customHeight="1">
      <c r="A35" s="69"/>
      <c r="B35" s="13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2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s="64" customFormat="1" ht="15" customHeight="1">
      <c r="A36" s="69"/>
      <c r="B36" s="13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2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s="64" customFormat="1" ht="15" customHeight="1">
      <c r="A37" s="69"/>
      <c r="B37" s="13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2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s="64" customFormat="1" ht="15" customHeight="1">
      <c r="A38" s="69"/>
      <c r="B38" s="13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2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s="64" customFormat="1" ht="15" customHeight="1">
      <c r="A39" s="69"/>
      <c r="B39" s="13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2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s="64" customFormat="1" ht="15" customHeight="1">
      <c r="A40" s="69"/>
      <c r="B40" s="13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2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64" customFormat="1" ht="15" customHeight="1">
      <c r="A41" s="69"/>
      <c r="B41" s="13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2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s="64" customFormat="1" ht="15" customHeight="1">
      <c r="A42" s="69"/>
      <c r="B42" s="13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2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s="64" customFormat="1" ht="15" customHeight="1">
      <c r="A43" s="69"/>
      <c r="B43" s="13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2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s="64" customFormat="1" ht="15" customHeight="1">
      <c r="A44" s="69"/>
      <c r="B44" s="13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2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s="64" customFormat="1" ht="15" customHeight="1">
      <c r="A45" s="69"/>
      <c r="B45" s="13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2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s="64" customFormat="1" ht="15" customHeight="1">
      <c r="A46" s="69"/>
      <c r="B46" s="13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2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s="64" customFormat="1" ht="15" customHeight="1">
      <c r="A47" s="69"/>
      <c r="B47" s="13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2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s="64" customFormat="1" ht="7.5" customHeight="1">
      <c r="A48" s="69"/>
      <c r="B48" s="13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2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s="64" customFormat="1" ht="13.5" customHeight="1" thickBot="1">
      <c r="A49" s="69"/>
      <c r="B49" s="378"/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80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s="64" customFormat="1" ht="13.5" customHeight="1" thickBot="1">
      <c r="A50" s="69"/>
      <c r="B50" s="381" t="s">
        <v>104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3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s="64" customFormat="1" ht="13.5" customHeight="1" thickBot="1">
      <c r="A51" s="69"/>
      <c r="B51" s="367" t="s">
        <v>105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9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s="64" customFormat="1"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s="64" customFormat="1"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s="64" customFormat="1"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s="64" customFormat="1"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s="64" customFormat="1"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s="64" customFormat="1"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s="64" customFormat="1"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s="64" customFormat="1"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s="64" customFormat="1"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s="64" customFormat="1"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s="64" customFormat="1"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s="64" customFormat="1"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s="64" customFormat="1"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8:27" s="64" customFormat="1"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8:27" s="64" customFormat="1"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8:27" s="64" customFormat="1"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8:27" s="64" customFormat="1"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8:27" s="64" customFormat="1"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8:27" s="64" customFormat="1"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8:27" s="64" customFormat="1"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8:27" s="64" customFormat="1"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8:27" s="64" customFormat="1"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8:27" s="64" customFormat="1"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8:27" s="64" customFormat="1"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8:27" s="64" customFormat="1"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8:27" s="64" customFormat="1"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8:27" s="64" customFormat="1"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8:27" s="64" customFormat="1"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8:27" s="64" customFormat="1"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8:27" s="64" customFormat="1"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8:27" s="64" customFormat="1"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8:27" s="64" customFormat="1"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8:27" s="64" customFormat="1"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8:27" s="64" customFormat="1"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8:27" s="64" customFormat="1"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8:27" s="64" customFormat="1"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8:27" s="64" customFormat="1"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8:27" s="64" customFormat="1"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8:27" s="64" customFormat="1"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8:27" s="64" customFormat="1"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8:27" s="64" customFormat="1"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8:27" s="64" customFormat="1"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8:27" s="64" customFormat="1"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8:27" s="64" customFormat="1"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8:27" s="64" customFormat="1"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8:27" s="64" customFormat="1"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8:27" s="64" customFormat="1"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8:27" s="64" customFormat="1"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8:27" s="64" customFormat="1"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8:27" s="64" customFormat="1"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8:27" s="64" customFormat="1"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8:27" s="64" customFormat="1"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8:27" s="64" customFormat="1"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8:27" s="64" customFormat="1"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8:27" s="64" customFormat="1"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8:27" s="64" customFormat="1"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8:27" s="64" customFormat="1"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8:27" s="64" customFormat="1"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8:27" s="64" customFormat="1"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8:27" s="64" customFormat="1"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8:27" s="64" customFormat="1"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8:27" s="64" customFormat="1"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8:27" s="64" customFormat="1"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8:27" s="64" customFormat="1"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8:27" s="64" customFormat="1"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8:27" s="64" customFormat="1"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8:27" s="64" customFormat="1"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8:27" s="64" customFormat="1"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8:27" s="64" customFormat="1"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8:27" s="64" customFormat="1"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8:27" s="64" customFormat="1"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8:27" s="64" customFormat="1"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8:27" s="64" customFormat="1"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8:27" s="64" customFormat="1"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8:27" s="64" customFormat="1"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8:27" s="64" customFormat="1"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8:27" s="64" customFormat="1"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8:27" s="64" customFormat="1"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8:27" s="64" customFormat="1"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8:27" s="64" customFormat="1"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8:27" s="64" customFormat="1"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8:27" s="64" customFormat="1"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8:27" s="64" customFormat="1"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8:27" s="64" customFormat="1"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8:27" s="64" customFormat="1"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8:27" s="64" customFormat="1"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8:27" s="64" customFormat="1"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8:27" s="64" customFormat="1"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8:27" s="64" customFormat="1"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8:27" s="64" customFormat="1"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8:27" s="64" customFormat="1"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8:27" s="64" customFormat="1"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8:27" s="64" customFormat="1"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8:27" s="64" customFormat="1"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8:27" s="64" customFormat="1"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8:27" s="64" customFormat="1"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8:27" s="64" customFormat="1"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8:27" s="64" customFormat="1"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8:27" s="64" customFormat="1"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8:27" s="64" customFormat="1"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8:27" s="64" customFormat="1"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8:27" s="64" customFormat="1"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8:27" s="64" customFormat="1"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8:27" s="64" customFormat="1"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8:27" s="64" customFormat="1"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8:27" s="64" customFormat="1"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8:27" s="64" customFormat="1"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8:27" s="64" customFormat="1"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8:27" s="64" customFormat="1"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8:27" s="64" customFormat="1"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8:27" s="64" customFormat="1"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8:27" s="64" customFormat="1"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8:27" s="64" customFormat="1"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8:27" s="64" customFormat="1"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8:27" s="64" customFormat="1"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8:27" s="64" customFormat="1"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8:27" s="64" customFormat="1"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8:27" s="64" customFormat="1"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8:27" s="64" customFormat="1"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8:27" s="64" customFormat="1"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8:27" s="64" customFormat="1"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8:27" s="64" customFormat="1"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8:27" s="64" customFormat="1"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8:27" s="64" customFormat="1"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8:27" s="64" customFormat="1"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8:27" s="64" customFormat="1"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8:27" s="64" customFormat="1"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8:27" s="64" customFormat="1"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8:27" s="64" customFormat="1"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8:27" s="64" customFormat="1"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8:27" s="64" customFormat="1"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8:27" s="64" customFormat="1"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8:27" s="64" customFormat="1"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8:27" s="64" customFormat="1"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8:27" s="64" customFormat="1"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8:27" s="64" customFormat="1"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8:27" s="64" customFormat="1"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8:27" s="64" customFormat="1"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8:27" s="64" customFormat="1"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8:27" s="64" customFormat="1"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8:27" s="64" customFormat="1"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8:27" s="64" customFormat="1"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8:27" s="64" customFormat="1"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8:27" s="64" customFormat="1"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8:27" s="64" customFormat="1"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8:27" s="64" customFormat="1"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8:27" s="64" customFormat="1"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8:27" s="64" customFormat="1"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8:27" s="64" customFormat="1"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8:27" s="64" customFormat="1"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8:27" s="64" customFormat="1"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8:27" s="64" customFormat="1"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8:27" s="64" customFormat="1"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8:27" s="64" customFormat="1"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8:27" s="64" customFormat="1"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8:27" s="64" customFormat="1"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8:27" s="64" customFormat="1"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8:27" s="64" customFormat="1"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8:27" s="64" customFormat="1"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8:27" s="64" customFormat="1"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8:27" s="64" customFormat="1"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8:27" s="64" customFormat="1"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8:27" s="64" customFormat="1"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8:27" s="64" customFormat="1"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8:27" s="64" customFormat="1"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8:27" s="64" customFormat="1"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8:27" s="64" customFormat="1"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8:27" s="64" customFormat="1"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8:27" s="64" customFormat="1"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8:27" s="64" customFormat="1"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8:27" s="64" customFormat="1"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8:27" s="64" customFormat="1"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8:27" s="64" customFormat="1"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8:27" s="64" customFormat="1"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8:27" s="64" customFormat="1"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8:27" s="64" customFormat="1"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8:27" s="64" customFormat="1"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8:27" s="64" customFormat="1"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8:27" s="64" customFormat="1"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8:27" s="64" customFormat="1"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8:27" s="64" customFormat="1"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8:27" s="64" customFormat="1"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8:27" s="64" customFormat="1"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8:27" s="64" customFormat="1"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8:27" s="64" customFormat="1"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8:27" s="64" customFormat="1"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8:27" s="64" customFormat="1"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8:27" s="64" customFormat="1"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8:27" s="64" customFormat="1"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8:27" s="64" customFormat="1"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8:27" s="64" customFormat="1"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8:27" s="64" customFormat="1"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8:27" s="64" customFormat="1"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8:27" s="64" customFormat="1"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8:27" s="64" customFormat="1"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8:27" s="64" customFormat="1"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8:27" s="64" customFormat="1"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8:27" s="64" customFormat="1"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8:27" s="64" customFormat="1"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8:27" s="64" customFormat="1"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8:27" s="64" customFormat="1"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8:27" s="64" customFormat="1"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8:27" s="64" customFormat="1"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8:27" s="64" customFormat="1"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8:27" s="64" customFormat="1"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8:27" s="64" customFormat="1"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8:27" s="64" customFormat="1"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8:27" s="64" customFormat="1"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8:27" s="64" customFormat="1"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8:27" s="64" customFormat="1"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8:27" s="64" customFormat="1"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8:27" s="64" customFormat="1"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8:27" s="64" customFormat="1"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8:27" s="64" customFormat="1"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8:27" s="64" customFormat="1"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8:27" s="64" customFormat="1"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8:27" s="64" customFormat="1"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8:27" s="64" customFormat="1"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8:27" s="64" customFormat="1"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8:27" s="64" customFormat="1"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8:27" s="64" customFormat="1"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8:27" s="64" customFormat="1"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8:27" s="64" customFormat="1"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8:27" s="64" customFormat="1"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8:27" s="64" customFormat="1"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8:27" s="64" customFormat="1"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8:27" s="64" customFormat="1"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8:27" s="64" customFormat="1"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8:27" s="64" customFormat="1"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8:27" s="64" customFormat="1"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8:27" s="64" customFormat="1"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8:27" s="64" customFormat="1"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8:27" s="64" customFormat="1"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8:27" s="64" customFormat="1"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8:27" s="64" customFormat="1"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8:27" s="64" customFormat="1"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8:27" s="64" customFormat="1"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8:27" s="64" customFormat="1"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8:27" s="64" customFormat="1"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8:27" s="64" customFormat="1"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8:27" s="64" customFormat="1"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8:27" s="64" customFormat="1"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8:27" s="64" customFormat="1"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8:27" s="64" customFormat="1"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8:27" s="64" customFormat="1"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8:27" s="64" customFormat="1"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8:27" s="64" customFormat="1"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8:27" s="64" customFormat="1"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8:27" s="64" customFormat="1"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8:27" s="64" customFormat="1"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8:27" s="64" customFormat="1"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8:27" s="64" customFormat="1"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8:27" s="64" customFormat="1"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8:27" s="64" customFormat="1"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8:27" s="64" customFormat="1"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8:27" s="64" customFormat="1"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8:27" s="64" customFormat="1"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8:27" s="64" customFormat="1"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8:27" s="64" customFormat="1"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8:27" s="64" customFormat="1"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8:27" s="64" customFormat="1"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8:27" s="64" customFormat="1"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8:27" s="64" customFormat="1"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8:27" s="64" customFormat="1"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8:27" s="64" customFormat="1"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8:27" s="64" customFormat="1"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8:27" s="64" customFormat="1"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8:27" s="64" customFormat="1"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8:27" s="64" customFormat="1"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8:27" s="64" customFormat="1"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8:27" s="64" customFormat="1"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8:27" s="64" customFormat="1"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8:27" s="64" customFormat="1"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8:27" s="64" customFormat="1"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8:27" s="64" customFormat="1"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8:27" s="64" customFormat="1"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8:27" s="64" customFormat="1"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8:27" s="64" customFormat="1"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8:27" s="64" customFormat="1"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8:27" s="64" customFormat="1"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8:27" s="64" customFormat="1"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8:27" s="64" customFormat="1"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8:27" s="64" customFormat="1"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8:27" s="64" customFormat="1"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8:27" s="64" customFormat="1"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8:27" s="64" customFormat="1"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8:27" s="64" customFormat="1"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8:27" s="64" customFormat="1"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8:27" s="64" customFormat="1"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8:27" s="64" customFormat="1"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8:27" s="64" customFormat="1"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8:27" s="64" customFormat="1"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8:27" s="64" customFormat="1"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8:27" s="64" customFormat="1"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8:27" s="64" customFormat="1"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8:27" s="64" customFormat="1"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8:27" s="64" customFormat="1"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8:27" s="64" customFormat="1"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8:27" s="64" customFormat="1"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8:27" s="64" customFormat="1"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8:27" s="64" customFormat="1"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8:27" s="64" customFormat="1"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8:27" s="64" customFormat="1"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8:27" s="64" customFormat="1"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8:27" s="64" customFormat="1"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8:27" s="64" customFormat="1"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8:27" s="64" customFormat="1"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8:27" s="64" customFormat="1"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8:27" s="64" customFormat="1"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8:27" s="64" customFormat="1"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8:27" s="64" customFormat="1"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8:27" s="64" customFormat="1"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8:27" s="64" customFormat="1"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8:27" s="64" customFormat="1"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8:27" s="64" customFormat="1"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8:27" s="64" customFormat="1"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8:27" s="64" customFormat="1"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8:27" s="64" customFormat="1"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8:27" s="64" customFormat="1"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8:27" s="64" customFormat="1"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8:27" s="64" customFormat="1"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8:27" s="64" customFormat="1"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8:27" s="64" customFormat="1"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8:27" s="64" customFormat="1"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8:27" s="64" customFormat="1"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8:27" s="64" customFormat="1"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8:27" s="64" customFormat="1"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8:27" s="64" customFormat="1"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8:27" s="64" customFormat="1"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8:27" s="64" customFormat="1"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8:27" s="64" customFormat="1"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8:27" s="64" customFormat="1"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8:27" s="64" customFormat="1"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8:27" s="64" customFormat="1"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8:27" s="64" customFormat="1"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8:27" s="64" customFormat="1"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8:27" s="64" customFormat="1"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8:27" s="64" customFormat="1"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8:27" s="64" customFormat="1"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8:27" s="64" customFormat="1"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8:27" s="64" customFormat="1"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8:27" s="64" customFormat="1"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8:27" s="64" customFormat="1"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8:27" s="64" customFormat="1"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8:27" s="64" customFormat="1"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8:27" s="64" customFormat="1"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8:27" s="64" customFormat="1"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8:27" s="64" customFormat="1"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8:27" s="64" customFormat="1"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8:27" s="64" customFormat="1"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8:27" s="64" customFormat="1"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8:27" s="64" customFormat="1"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8:27" s="64" customFormat="1"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8:27" s="64" customFormat="1"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8:27" s="64" customFormat="1"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8:27" s="64" customFormat="1"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8:27" s="64" customFormat="1"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8:27" s="64" customFormat="1"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8:27" s="64" customFormat="1"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8:27" s="64" customFormat="1"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8:27" s="64" customFormat="1"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8:27" s="64" customFormat="1"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8:27" s="64" customFormat="1"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8:27" s="64" customFormat="1"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8:27" s="64" customFormat="1"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8:27" s="64" customFormat="1"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8:27" s="64" customFormat="1"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8:27" s="64" customFormat="1"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8:27" s="64" customFormat="1"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8:27" s="64" customFormat="1"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8:27" s="64" customFormat="1"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8:27" s="64" customFormat="1"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8:27" s="64" customFormat="1"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8:27" s="64" customFormat="1"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8:27" s="64" customFormat="1"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8:27" s="64" customFormat="1"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8:27" s="64" customFormat="1"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8:27" s="64" customFormat="1"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8:27" s="64" customFormat="1"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8:27" s="64" customFormat="1"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8:27" s="64" customFormat="1"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8:27" s="64" customFormat="1"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8:27" s="64" customFormat="1"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8:27" s="64" customFormat="1"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8:27" s="64" customFormat="1"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8:27" s="64" customFormat="1"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8:27" s="64" customFormat="1"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8:27" s="64" customFormat="1"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8:27" s="64" customFormat="1"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8:27" s="64" customFormat="1"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8:27" s="64" customFormat="1"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8:27" s="64" customFormat="1"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8:27" s="64" customFormat="1"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8:27" s="64" customFormat="1"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8:27" s="64" customFormat="1"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8:27" s="64" customFormat="1"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8:27" s="64" customFormat="1"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8:27" s="64" customFormat="1"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8:27" s="64" customFormat="1"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8:27" s="64" customFormat="1"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8:27" s="64" customFormat="1"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8:27" s="64" customFormat="1"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8:27" s="64" customFormat="1"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8:27" s="64" customFormat="1"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8:27" s="64" customFormat="1"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8:27" s="64" customFormat="1"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8:27" s="64" customFormat="1"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8:27" s="64" customFormat="1"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8:27" s="64" customFormat="1"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8:27" s="64" customFormat="1"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8:27" s="64" customFormat="1"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8:27" s="64" customFormat="1"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8:27" s="64" customFormat="1"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8:27" s="64" customFormat="1"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8:27" s="64" customFormat="1"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8:27" s="64" customFormat="1"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8:27" s="64" customFormat="1"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8:27" s="64" customFormat="1"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8:27" s="64" customFormat="1"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8:27" s="64" customFormat="1"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8:27" s="64" customFormat="1"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8:27" s="64" customFormat="1"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8:27" s="64" customFormat="1"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8:27" s="64" customFormat="1"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8:27" s="64" customFormat="1"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8:27" s="64" customFormat="1"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8:27" s="64" customFormat="1"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18:27" s="64" customFormat="1"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8:27" s="64" customFormat="1"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8:27" s="64" customFormat="1"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18:27" s="64" customFormat="1"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18:27" s="64" customFormat="1"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18:27" s="64" customFormat="1"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8:27" s="64" customFormat="1"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18:27" s="64" customFormat="1"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8:27" s="64" customFormat="1"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18:27" s="64" customFormat="1"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8:27" s="64" customFormat="1"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8:27" s="64" customFormat="1"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8:27" s="64" customFormat="1"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18:27" s="64" customFormat="1"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18:27" s="64" customFormat="1"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18:27" s="64" customFormat="1"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8:27" s="64" customFormat="1"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8:27" s="64" customFormat="1"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18:27" s="64" customFormat="1"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18:27" s="64" customFormat="1"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18:27" s="64" customFormat="1"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18:27" s="64" customFormat="1"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18:27" s="64" customFormat="1"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18:27" s="64" customFormat="1"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18:27" s="64" customFormat="1"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8:27" s="64" customFormat="1"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8:27" s="64" customFormat="1"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8:27" s="64" customFormat="1"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18:27" s="64" customFormat="1"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8:27" s="64" customFormat="1"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18:27" s="64" customFormat="1"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18:27" s="64" customFormat="1"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18:27" s="64" customFormat="1"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8:27" s="64" customFormat="1"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18:27" s="64" customFormat="1"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18:27" s="64" customFormat="1"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18:27" s="64" customFormat="1"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18:27" s="64" customFormat="1"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18:27" s="64" customFormat="1"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8:27" s="64" customFormat="1"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8:27" s="64" customFormat="1"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8:27" s="64" customFormat="1"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8:27" s="64" customFormat="1"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18:27" s="64" customFormat="1"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18:27" s="64" customFormat="1"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18:27" s="64" customFormat="1"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18:27" s="64" customFormat="1"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8:27" s="64" customFormat="1"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18:27" s="64" customFormat="1"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18:27" s="64" customFormat="1"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18:27" s="64" customFormat="1"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18:27" s="64" customFormat="1"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18:27" s="64" customFormat="1"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18:27" s="64" customFormat="1"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18:27" s="64" customFormat="1"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18:27" s="64" customFormat="1"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18:27" s="64" customFormat="1"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8:27" s="64" customFormat="1"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18:27" s="64" customFormat="1"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18:27" s="64" customFormat="1"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8:27" s="64" customFormat="1"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8:27" s="64" customFormat="1"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8:27" s="64" customFormat="1"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18:27" s="64" customFormat="1"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8:27" s="64" customFormat="1"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18:27" s="64" customFormat="1"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18:27" s="64" customFormat="1"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18:27" s="64" customFormat="1"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18:27" s="64" customFormat="1"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18:27" s="64" customFormat="1"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18:27" s="64" customFormat="1"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18:27" s="64" customFormat="1"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18:27" s="64" customFormat="1"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18:27" s="64" customFormat="1"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18:27" s="64" customFormat="1"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18:27" s="64" customFormat="1"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18:27" s="64" customFormat="1"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18:27" s="64" customFormat="1"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18:27" s="64" customFormat="1"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18:27" s="64" customFormat="1"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18:27" s="64" customFormat="1"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18:27" s="64" customFormat="1"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18:27" s="64" customFormat="1"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18:27" s="64" customFormat="1"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18:27" s="64" customFormat="1"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18:27" s="64" customFormat="1"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18:27" s="64" customFormat="1"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18:27" s="64" customFormat="1"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18:27" s="64" customFormat="1"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18:27" s="64" customFormat="1"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18:27" s="64" customFormat="1"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18:27" s="64" customFormat="1"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18:27" s="64" customFormat="1"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18:27" s="64" customFormat="1"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18:27" s="64" customFormat="1"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18:27" s="64" customFormat="1"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18:27" s="64" customFormat="1"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18:27" s="64" customFormat="1"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18:27" s="64" customFormat="1"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18:27" s="64" customFormat="1"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18:27" s="64" customFormat="1"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18:27" s="64" customFormat="1"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18:27" s="64" customFormat="1"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18:27" s="64" customFormat="1"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18:27" s="64" customFormat="1"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18:27" s="64" customFormat="1"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18:27" s="64" customFormat="1"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18:27" s="64" customFormat="1"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18:27" s="64" customFormat="1"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18:27" s="64" customFormat="1"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18:27" s="64" customFormat="1"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18:27" s="64" customFormat="1"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18:27" s="64" customFormat="1"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18:27" s="64" customFormat="1"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18:27" s="64" customFormat="1"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18:27" s="64" customFormat="1"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18:27" s="64" customFormat="1"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18:27" s="64" customFormat="1"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18:27" s="64" customFormat="1"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18:27" s="64" customFormat="1"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18:27" s="64" customFormat="1"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18:27" s="64" customFormat="1"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18:27" s="64" customFormat="1"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18:27" s="64" customFormat="1"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18:27" s="64" customFormat="1"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18:27" s="64" customFormat="1"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18:27" s="64" customFormat="1"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18:27" s="64" customFormat="1"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18:27" s="64" customFormat="1"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18:27" s="64" customFormat="1"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18:27" s="64" customFormat="1"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18:27" s="64" customFormat="1"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18:27" s="64" customFormat="1"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18:27" s="64" customFormat="1"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18:27" s="64" customFormat="1"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18:27" s="64" customFormat="1"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18:27" s="64" customFormat="1"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18:27" s="64" customFormat="1"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18:27" s="64" customFormat="1"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18:27" s="64" customFormat="1"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18:27" s="64" customFormat="1"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18:27" s="64" customFormat="1"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18:27" s="64" customFormat="1"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18:27" s="64" customFormat="1"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18:27" s="64" customFormat="1"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18:27" s="64" customFormat="1"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18:27" s="64" customFormat="1"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18:27" s="64" customFormat="1"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18:27" s="64" customFormat="1"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18:27" s="64" customFormat="1"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18:27" s="64" customFormat="1"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18:27" s="64" customFormat="1"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18:27" s="64" customFormat="1"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18:27" s="64" customFormat="1"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18:27" s="64" customFormat="1"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18:27" s="64" customFormat="1"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18:27" s="64" customFormat="1"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18:27" s="64" customFormat="1"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18:27" s="64" customFormat="1"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18:27" s="64" customFormat="1"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18:27" s="64" customFormat="1"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18:27" s="64" customFormat="1"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18:27" s="64" customFormat="1"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18:27" s="64" customFormat="1"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18:27" s="64" customFormat="1"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18:27" s="64" customFormat="1"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18:27" s="64" customFormat="1"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18:27" s="64" customFormat="1"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18:27" s="64" customFormat="1"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18:27" s="64" customFormat="1"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18:27" s="64" customFormat="1"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18:27" s="64" customFormat="1"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18:27" s="64" customFormat="1"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18:27" s="64" customFormat="1"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18:27" s="64" customFormat="1"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18:27" s="64" customFormat="1"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18:27" s="64" customFormat="1"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18:27" s="64" customFormat="1"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18:27" s="64" customFormat="1"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18:27" s="64" customFormat="1"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18:27" s="64" customFormat="1"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18:27" s="64" customFormat="1"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18:27" s="64" customFormat="1"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18:27" s="64" customFormat="1"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18:27" s="64" customFormat="1"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18:27" s="64" customFormat="1"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18:27" s="64" customFormat="1"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18:27" s="64" customFormat="1"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18:27" s="64" customFormat="1"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18:27" s="64" customFormat="1"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18:27" s="64" customFormat="1"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18:27" s="64" customFormat="1"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18:27" s="64" customFormat="1"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18:27" s="64" customFormat="1"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18:27" s="64" customFormat="1"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18:27" s="64" customFormat="1"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18:27" s="64" customFormat="1"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18:27" s="64" customFormat="1"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18:27" s="64" customFormat="1"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18:27" s="64" customFormat="1"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18:27" s="64" customFormat="1"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18:27" s="64" customFormat="1"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18:27" s="64" customFormat="1"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18:27" s="64" customFormat="1"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18:27" s="64" customFormat="1"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18:27" s="64" customFormat="1"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18:27" s="64" customFormat="1"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18:27" s="64" customFormat="1"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18:27" s="64" customFormat="1"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18:27" s="64" customFormat="1"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18:27" s="64" customFormat="1"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18:27" s="64" customFormat="1"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18:27" s="64" customFormat="1"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18:27" s="64" customFormat="1"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18:27" s="64" customFormat="1"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18:27" s="64" customFormat="1"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18:27" s="64" customFormat="1"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18:27" s="64" customFormat="1"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18:27" s="64" customFormat="1"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18:27" s="64" customFormat="1"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18:27" s="64" customFormat="1"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18:27" s="64" customFormat="1"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18:27" s="64" customFormat="1"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18:27" s="64" customFormat="1"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18:27" s="64" customFormat="1"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18:27" s="64" customFormat="1"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18:27" s="64" customFormat="1"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18:27" s="64" customFormat="1"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18:27" s="64" customFormat="1"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18:27" s="64" customFormat="1"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18:27" s="64" customFormat="1"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18:27" s="64" customFormat="1"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18:27" s="64" customFormat="1"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18:27" s="64" customFormat="1"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18:27" s="64" customFormat="1"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18:27" s="64" customFormat="1"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18:27" s="64" customFormat="1"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18:27" s="64" customFormat="1"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18:27" s="64" customFormat="1"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18:27" s="64" customFormat="1"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18:27" s="64" customFormat="1"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18:27" s="64" customFormat="1"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18:27" s="64" customFormat="1"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18:27" s="64" customFormat="1"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18:27" s="64" customFormat="1"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18:27" s="64" customFormat="1"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18:27" s="64" customFormat="1"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18:27" s="64" customFormat="1"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18:27" s="64" customFormat="1"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18:27" s="64" customFormat="1"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18:27" s="64" customFormat="1"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18:27" s="64" customFormat="1"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18:27" s="64" customFormat="1"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18:27" s="64" customFormat="1"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18:27" s="64" customFormat="1"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18:27" s="64" customFormat="1"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18:27" s="64" customFormat="1"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18:27" s="64" customFormat="1"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18:27" s="64" customFormat="1"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18:27" s="64" customFormat="1"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18:27" s="64" customFormat="1"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18:27" s="64" customFormat="1"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18:27" s="64" customFormat="1"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18:27" s="64" customFormat="1"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18:27" s="64" customFormat="1"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18:27" s="64" customFormat="1"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18:27" s="64" customFormat="1"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18:27" s="64" customFormat="1"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18:27" s="64" customFormat="1"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18:27" s="64" customFormat="1"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18:27" s="64" customFormat="1"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18:27" s="64" customFormat="1"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18:27" s="64" customFormat="1"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18:27" s="64" customFormat="1"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18:27" s="64" customFormat="1"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18:27" s="64" customFormat="1"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18:27" s="64" customFormat="1"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18:27" s="64" customFormat="1"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18:27" s="64" customFormat="1"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18:27" s="64" customFormat="1"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18:27" s="64" customFormat="1"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18:27" s="64" customFormat="1"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18:27" s="64" customFormat="1"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18:27" s="64" customFormat="1"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18:27" s="64" customFormat="1"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18:27" s="64" customFormat="1"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18:27" s="64" customFormat="1"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18:27" s="64" customFormat="1"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18:27" s="64" customFormat="1"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18:27" s="64" customFormat="1"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18:27" s="64" customFormat="1"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18:27" s="64" customFormat="1"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18:27" s="64" customFormat="1"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18:27" s="64" customFormat="1"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18:27" s="64" customFormat="1"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18:27" s="64" customFormat="1"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18:27" s="64" customFormat="1"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18:27" s="64" customFormat="1"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18:27" s="64" customFormat="1"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18:27" s="64" customFormat="1"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18:27" s="64" customFormat="1"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18:27" s="64" customFormat="1"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18:27" s="64" customFormat="1"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18:27" s="64" customFormat="1"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18:27" s="64" customFormat="1"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18:27" s="64" customFormat="1"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18:27" s="64" customFormat="1"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18:27" s="64" customFormat="1"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18:27" s="64" customFormat="1"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18:27" s="64" customFormat="1"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18:27" s="64" customFormat="1"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18:27" s="64" customFormat="1"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18:27" s="64" customFormat="1"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18:27" s="64" customFormat="1"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18:27" s="64" customFormat="1"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18:27" s="64" customFormat="1"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18:27" s="64" customFormat="1"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18:27" s="64" customFormat="1"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18:27" s="64" customFormat="1"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18:27" s="64" customFormat="1"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18:27" s="64" customFormat="1"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18:27" s="64" customFormat="1"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18:27" s="64" customFormat="1"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18:27" s="64" customFormat="1"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18:27" s="64" customFormat="1"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18:27" s="64" customFormat="1"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18:27" s="64" customFormat="1"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8:27" s="64" customFormat="1"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18:27" s="64" customFormat="1"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18:27" s="64" customFormat="1"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18:27" s="64" customFormat="1"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18:27" s="64" customFormat="1"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18:27" s="64" customFormat="1"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18:27" s="64" customFormat="1"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18:27" s="64" customFormat="1"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18:27" s="64" customFormat="1"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18:27" s="64" customFormat="1"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18:27" s="64" customFormat="1"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18:27" s="64" customFormat="1"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18:27" s="64" customFormat="1"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18:27" s="64" customFormat="1"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18:27" s="64" customFormat="1"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18:27" s="64" customFormat="1"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18:27" s="64" customFormat="1"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18:27" s="64" customFormat="1"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18:27" s="64" customFormat="1"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18:27" s="64" customFormat="1"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18:27" s="64" customFormat="1"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18:27" s="64" customFormat="1"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18:27" s="64" customFormat="1"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18:27" s="64" customFormat="1"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18:27" s="64" customFormat="1"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18:27" s="64" customFormat="1"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18:27" s="64" customFormat="1"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18:27" s="64" customFormat="1"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18:27" s="64" customFormat="1"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18:27" s="64" customFormat="1"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18:27" s="64" customFormat="1"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18:27" s="64" customFormat="1"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18:27" s="64" customFormat="1"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18:27" s="64" customFormat="1"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18:27" s="64" customFormat="1"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18:27" s="64" customFormat="1"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18:27" s="64" customFormat="1"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18:27" s="64" customFormat="1"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18:27" s="64" customFormat="1"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18:27" s="64" customFormat="1"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18:27" s="64" customFormat="1"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18:27" s="64" customFormat="1"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18:27" s="64" customFormat="1"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18:27" s="64" customFormat="1"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18:27" s="64" customFormat="1"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18:27" s="64" customFormat="1"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18:27" s="64" customFormat="1"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18:27" s="64" customFormat="1"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18:27" s="64" customFormat="1"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18:27" s="64" customFormat="1"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18:27" s="64" customFormat="1"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18:27" s="64" customFormat="1"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18:27" s="64" customFormat="1"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18:27" s="64" customFormat="1"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18:27" s="64" customFormat="1"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18:27" s="64" customFormat="1"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18:27" s="64" customFormat="1"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18:27" s="64" customFormat="1"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18:27" s="64" customFormat="1"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18:27" s="64" customFormat="1"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18:27" s="64" customFormat="1"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18:27" s="64" customFormat="1"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18:27" s="64" customFormat="1"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18:27" s="64" customFormat="1"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18:27" s="64" customFormat="1"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18:27" s="64" customFormat="1"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18:27" s="64" customFormat="1"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18:27" s="64" customFormat="1"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18:27" s="64" customFormat="1"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18:27" s="64" customFormat="1"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18:27" s="64" customFormat="1"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18:27" s="64" customFormat="1"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18:27" s="64" customFormat="1"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18:27" s="64" customFormat="1"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18:27" s="64" customFormat="1"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18:27" s="64" customFormat="1"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18:27" s="64" customFormat="1"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18:27" s="64" customFormat="1"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18:27" s="64" customFormat="1"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18:27" s="64" customFormat="1"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18:27" s="64" customFormat="1"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18:27" s="64" customFormat="1"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18:27" s="64" customFormat="1"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18:27" s="64" customFormat="1"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18:27" s="64" customFormat="1"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18:27" s="64" customFormat="1"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18:27" s="64" customFormat="1"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18:27" s="64" customFormat="1"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18:27" s="64" customFormat="1"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18:27" s="64" customFormat="1"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8:27" s="64" customFormat="1"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18:27" s="64" customFormat="1"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18:27" s="64" customFormat="1"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18:27" s="64" customFormat="1"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18:27" s="64" customFormat="1"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18:27" s="64" customFormat="1"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18:27" s="64" customFormat="1"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18:27" s="64" customFormat="1"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18:27" s="64" customFormat="1"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8:27" s="64" customFormat="1"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18:27" s="64" customFormat="1"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18:27" s="64" customFormat="1"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18:27" s="64" customFormat="1"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18:27" s="64" customFormat="1"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18:27" s="64" customFormat="1"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18:27" s="64" customFormat="1"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18:27" s="64" customFormat="1"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18:27" s="64" customFormat="1"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8:27" s="64" customFormat="1"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18:27" s="64" customFormat="1"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18:27" s="64" customFormat="1"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18:27" s="64" customFormat="1"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18:27" s="64" customFormat="1"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18:27" s="64" customFormat="1"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18:27" s="64" customFormat="1"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18:27" s="64" customFormat="1"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18:27" s="64" customFormat="1"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18:27" s="64" customFormat="1"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18:27" s="64" customFormat="1"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18:27" s="64" customFormat="1"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18:27" s="64" customFormat="1"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18:27" s="64" customFormat="1"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18:27" s="64" customFormat="1"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18:27" s="64" customFormat="1"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18:27" s="64" customFormat="1"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18:27" s="64" customFormat="1"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18:27" s="64" customFormat="1"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18:27" s="64" customFormat="1"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8:27" s="64" customFormat="1"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18:27" s="64" customFormat="1"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18:27" s="64" customFormat="1"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18:27" s="64" customFormat="1"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18:27" s="64" customFormat="1"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18:27" s="64" customFormat="1"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18:27" s="64" customFormat="1"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18:27" s="64" customFormat="1"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18:27" s="64" customFormat="1"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18:27" s="64" customFormat="1"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18:27" s="64" customFormat="1"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18:27" s="64" customFormat="1"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18:27" s="64" customFormat="1"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18:27" s="64" customFormat="1"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18:27" s="64" customFormat="1"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18:27" s="64" customFormat="1"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18:27" s="64" customFormat="1"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18:27" s="64" customFormat="1"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18:27" s="64" customFormat="1"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18:27" s="64" customFormat="1"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18:27" s="64" customFormat="1"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18:27" s="64" customFormat="1"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18:27" s="64" customFormat="1"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18:27" s="64" customFormat="1"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18:27" s="64" customFormat="1"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18:27" s="64" customFormat="1"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18:27" s="64" customFormat="1"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18:27" s="64" customFormat="1"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18:27" s="64" customFormat="1"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18:27" s="64" customFormat="1"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18:27" s="64" customFormat="1"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18:27" s="64" customFormat="1"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18:27" s="64" customFormat="1"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18:27" s="64" customFormat="1"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18:27" s="64" customFormat="1"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18:27" s="64" customFormat="1"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18:27" s="64" customFormat="1"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18:27" s="64" customFormat="1"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18:27" s="64" customFormat="1"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18:27" s="64" customFormat="1"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18:27" s="64" customFormat="1"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18:27" s="64" customFormat="1"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18:27" s="64" customFormat="1"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18:27" s="64" customFormat="1"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18:27" s="64" customFormat="1"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18:27" s="64" customFormat="1"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18:27" s="64" customFormat="1"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18:27" s="64" customFormat="1"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18:27" s="64" customFormat="1"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18:27" s="64" customFormat="1"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18:27" s="64" customFormat="1"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18:27" s="64" customFormat="1"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</sheetData>
  <mergeCells count="11">
    <mergeCell ref="R2:AA33"/>
    <mergeCell ref="B51:O51"/>
    <mergeCell ref="B2:N2"/>
    <mergeCell ref="B3:O3"/>
    <mergeCell ref="B5:H5"/>
    <mergeCell ref="J5:L5"/>
    <mergeCell ref="B26:O26"/>
    <mergeCell ref="B28:H28"/>
    <mergeCell ref="J28:L28"/>
    <mergeCell ref="B49:O49"/>
    <mergeCell ref="B50:O50"/>
  </mergeCells>
  <conditionalFormatting sqref="P10:Q10 Z10:AA10">
    <cfRule type="cellIs" dxfId="3" priority="1" operator="lessThan">
      <formula>0</formula>
    </cfRule>
    <cfRule type="cellIs" dxfId="2" priority="4" operator="lessThan">
      <formula>0</formula>
    </cfRule>
  </conditionalFormatting>
  <conditionalFormatting sqref="C10:N10">
    <cfRule type="cellIs" dxfId="1" priority="2" operator="lessThan">
      <formula>0</formula>
    </cfRule>
  </conditionalFormatting>
  <conditionalFormatting sqref="C33:N33">
    <cfRule type="cellIs" dxfId="0" priority="3" operator="lessThan">
      <formula>0</formula>
    </cfRule>
  </conditionalFormatting>
  <pageMargins left="0.25" right="0.25" top="0.35" bottom="0.35" header="0.3" footer="0.3"/>
  <pageSetup fitToHeight="0" orientation="landscape" useFirstPageNumber="1"/>
  <headerFooter>
    <oddHeader>&amp;L&amp;"Arial"&amp;C&amp;"Arial"&amp;R&amp;"Arial"</oddHeader>
    <oddFooter>&amp;L&amp;"Arial"&amp;C&amp;"Arial"&amp;R&amp;"Arial"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CDD3-6B38-492F-AEE0-FEEA2CD4DAED}">
  <sheetPr>
    <tabColor rgb="FFFF0000"/>
  </sheetPr>
  <dimension ref="A1:HV18"/>
  <sheetViews>
    <sheetView workbookViewId="0">
      <selection activeCell="G6" sqref="G6:H6"/>
    </sheetView>
  </sheetViews>
  <sheetFormatPr defaultColWidth="10.28515625" defaultRowHeight="15"/>
  <cols>
    <col min="1" max="1" width="21.5703125" style="247" customWidth="1"/>
    <col min="2" max="4" width="14.5703125" style="76" customWidth="1"/>
    <col min="5" max="5" width="14.5703125" style="60" customWidth="1"/>
    <col min="6" max="16384" width="10.28515625" style="60"/>
  </cols>
  <sheetData>
    <row r="1" spans="1:230" ht="15" customHeight="1">
      <c r="A1" s="238"/>
      <c r="B1" s="201"/>
      <c r="C1" s="201"/>
      <c r="D1" s="201"/>
      <c r="E1" s="202"/>
    </row>
    <row r="2" spans="1:230" ht="15" customHeight="1">
      <c r="A2" s="239"/>
      <c r="B2" s="197"/>
      <c r="C2" s="197"/>
      <c r="D2" s="197"/>
      <c r="E2" s="203"/>
    </row>
    <row r="3" spans="1:230" s="74" customFormat="1" ht="54.75" customHeight="1">
      <c r="A3" s="240"/>
      <c r="B3" s="229" t="s">
        <v>0</v>
      </c>
      <c r="C3" s="229" t="s">
        <v>106</v>
      </c>
      <c r="D3" s="229" t="s">
        <v>107</v>
      </c>
      <c r="E3" s="230" t="s">
        <v>108</v>
      </c>
    </row>
    <row r="4" spans="1:230" s="74" customFormat="1" ht="44.25" customHeight="1">
      <c r="A4" s="241"/>
      <c r="B4" s="198" t="s">
        <v>109</v>
      </c>
      <c r="C4" s="198" t="s">
        <v>110</v>
      </c>
      <c r="D4" s="198" t="s">
        <v>111</v>
      </c>
      <c r="E4" s="204" t="s">
        <v>112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</row>
    <row r="5" spans="1:230" ht="15" customHeight="1">
      <c r="A5" s="242"/>
      <c r="B5" s="199"/>
      <c r="C5" s="199"/>
      <c r="D5" s="199"/>
      <c r="E5" s="205"/>
    </row>
    <row r="6" spans="1:230" ht="15" customHeight="1">
      <c r="A6" s="242"/>
      <c r="B6" s="200"/>
      <c r="C6" s="200"/>
      <c r="D6" s="200"/>
      <c r="E6" s="205"/>
    </row>
    <row r="7" spans="1:230" ht="15" customHeight="1">
      <c r="A7" s="243" t="s">
        <v>83</v>
      </c>
      <c r="B7" s="231">
        <v>660600</v>
      </c>
      <c r="C7" s="231">
        <v>1981800</v>
      </c>
      <c r="D7" s="231">
        <v>3963600</v>
      </c>
      <c r="E7" s="232">
        <v>2383820</v>
      </c>
    </row>
    <row r="8" spans="1:230" ht="15" customHeight="1">
      <c r="A8" s="243" t="s">
        <v>127</v>
      </c>
      <c r="B8" s="231">
        <v>418922.88</v>
      </c>
      <c r="C8" s="231">
        <v>1246868.6399999999</v>
      </c>
      <c r="D8" s="231">
        <v>1221668.6399999999</v>
      </c>
      <c r="E8" s="232">
        <v>1512177.21</v>
      </c>
    </row>
    <row r="9" spans="1:230" ht="15" customHeight="1">
      <c r="A9" s="245" t="s">
        <v>124</v>
      </c>
      <c r="B9" s="233">
        <v>241677.12</v>
      </c>
      <c r="C9" s="233">
        <v>734931.36</v>
      </c>
      <c r="D9" s="233">
        <v>2741931.36</v>
      </c>
      <c r="E9" s="232">
        <v>871642.79</v>
      </c>
    </row>
    <row r="10" spans="1:230" ht="15" customHeight="1">
      <c r="A10" s="243" t="s">
        <v>125</v>
      </c>
      <c r="B10" s="231">
        <v>41000</v>
      </c>
      <c r="C10" s="231">
        <v>123000</v>
      </c>
      <c r="D10" s="231">
        <v>246000</v>
      </c>
      <c r="E10" s="232">
        <v>308554</v>
      </c>
    </row>
    <row r="11" spans="1:230" ht="15" customHeight="1">
      <c r="A11" s="244"/>
      <c r="B11" s="234"/>
      <c r="C11" s="234"/>
      <c r="D11" s="234"/>
      <c r="E11" s="235"/>
    </row>
    <row r="12" spans="1:230" ht="15" customHeight="1">
      <c r="A12" s="243" t="s">
        <v>134</v>
      </c>
      <c r="B12" s="233">
        <v>200677.12</v>
      </c>
      <c r="C12" s="233">
        <v>611931.36</v>
      </c>
      <c r="D12" s="233">
        <v>2495931.36</v>
      </c>
      <c r="E12" s="232">
        <v>563088.79</v>
      </c>
    </row>
    <row r="13" spans="1:230" ht="15" customHeight="1">
      <c r="A13" s="244"/>
      <c r="B13" s="234"/>
      <c r="C13" s="234"/>
      <c r="D13" s="234"/>
      <c r="E13" s="235"/>
    </row>
    <row r="14" spans="1:230" ht="15" customHeight="1">
      <c r="A14" s="243" t="s">
        <v>135</v>
      </c>
      <c r="B14" s="234"/>
      <c r="C14" s="234"/>
      <c r="D14" s="234"/>
      <c r="E14" s="232">
        <v>84500</v>
      </c>
    </row>
    <row r="15" spans="1:230" ht="15" customHeight="1">
      <c r="A15" s="243" t="s">
        <v>136</v>
      </c>
      <c r="B15" s="233">
        <v>2000</v>
      </c>
      <c r="C15" s="233">
        <v>6000</v>
      </c>
      <c r="D15" s="233">
        <v>12000</v>
      </c>
      <c r="E15" s="232">
        <v>6000</v>
      </c>
    </row>
    <row r="16" spans="1:230" ht="15" customHeight="1">
      <c r="A16" s="245" t="s">
        <v>137</v>
      </c>
      <c r="B16" s="233">
        <v>-2000</v>
      </c>
      <c r="C16" s="233">
        <v>-6000</v>
      </c>
      <c r="D16" s="233">
        <v>-12000</v>
      </c>
      <c r="E16" s="232">
        <v>78500</v>
      </c>
    </row>
    <row r="17" spans="1:5" ht="15" customHeight="1">
      <c r="A17" s="244"/>
      <c r="B17" s="234"/>
      <c r="C17" s="234"/>
      <c r="D17" s="234"/>
      <c r="E17" s="235"/>
    </row>
    <row r="18" spans="1:5" ht="15" customHeight="1" thickBot="1">
      <c r="A18" s="246" t="s">
        <v>7</v>
      </c>
      <c r="B18" s="236">
        <v>198677.12</v>
      </c>
      <c r="C18" s="236">
        <v>605931.36</v>
      </c>
      <c r="D18" s="236">
        <v>2483931.36</v>
      </c>
      <c r="E18" s="237">
        <v>641588.79</v>
      </c>
    </row>
  </sheetData>
  <pageMargins left="0.7" right="0.7" top="0.75" bottom="0.75" header="0.3" footer="0.3"/>
  <pageSetup fitToWidth="0" fitToHeight="0" orientation="portrait" useFirstPageNumber="1"/>
  <headerFooter>
    <oddHeader>&amp;L&amp;"Arial"&amp;C&amp;"Arial"&amp;R&amp;"Arial"</oddHeader>
    <oddFooter>&amp;L&amp;"Arial"&amp;C&amp;"Arial"&amp;R&amp;"Arial"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6752-197E-4D5C-A779-471E3816577E}">
  <sheetPr>
    <tabColor rgb="FFFF0000"/>
    <pageSetUpPr fitToPage="1"/>
  </sheetPr>
  <dimension ref="B1:HO33"/>
  <sheetViews>
    <sheetView zoomScale="90" zoomScaleNormal="90" workbookViewId="0"/>
  </sheetViews>
  <sheetFormatPr defaultColWidth="10.28515625" defaultRowHeight="15.75"/>
  <cols>
    <col min="1" max="1" width="2.85546875" style="60" customWidth="1"/>
    <col min="2" max="2" width="35.140625" style="60" customWidth="1"/>
    <col min="3" max="3" width="10.28515625" style="60" customWidth="1"/>
    <col min="4" max="4" width="4" style="60" customWidth="1"/>
    <col min="5" max="5" width="10.28515625" style="60" customWidth="1"/>
    <col min="6" max="6" width="17.28515625" style="60" customWidth="1"/>
    <col min="7" max="10" width="20" style="60" customWidth="1"/>
    <col min="11" max="11" width="3.42578125" style="60" customWidth="1"/>
    <col min="12" max="12" width="20" style="60" customWidth="1"/>
    <col min="13" max="13" width="2.85546875" style="60" customWidth="1"/>
    <col min="14" max="14" width="2.5703125" style="36" customWidth="1"/>
    <col min="15" max="21" width="10.28515625" style="36"/>
    <col min="22" max="22" width="1.85546875" style="36" customWidth="1"/>
    <col min="23" max="23" width="3.140625" style="36" customWidth="1"/>
    <col min="24" max="16384" width="10.28515625" style="60"/>
  </cols>
  <sheetData>
    <row r="1" spans="2:223" ht="16.5" thickBot="1"/>
    <row r="2" spans="2:223" ht="19.5" customHeight="1">
      <c r="B2" s="384" t="s">
        <v>17</v>
      </c>
      <c r="C2" s="385"/>
      <c r="D2" s="385"/>
      <c r="E2" s="385"/>
      <c r="F2" s="385"/>
      <c r="G2" s="385"/>
      <c r="H2" s="385"/>
      <c r="I2" s="385"/>
      <c r="J2" s="385"/>
      <c r="K2" s="385"/>
      <c r="L2" s="386"/>
      <c r="N2" s="354"/>
      <c r="O2" s="301"/>
      <c r="P2" s="301"/>
      <c r="Q2" s="301"/>
      <c r="R2" s="301"/>
      <c r="S2" s="301"/>
      <c r="T2" s="301"/>
      <c r="U2" s="301"/>
      <c r="V2" s="301"/>
      <c r="W2" s="302"/>
    </row>
    <row r="3" spans="2:223" ht="15" customHeight="1">
      <c r="B3" s="387"/>
      <c r="C3" s="388"/>
      <c r="D3" s="388"/>
      <c r="E3" s="388"/>
      <c r="F3" s="388"/>
      <c r="G3" s="388"/>
      <c r="H3" s="388"/>
      <c r="I3" s="388"/>
      <c r="J3" s="388"/>
      <c r="K3" s="388"/>
      <c r="L3" s="389"/>
      <c r="N3" s="303"/>
      <c r="O3" s="355"/>
      <c r="P3" s="355"/>
      <c r="Q3" s="355"/>
      <c r="R3" s="355"/>
      <c r="S3" s="355"/>
      <c r="T3" s="355"/>
      <c r="U3" s="355"/>
      <c r="V3" s="355"/>
      <c r="W3" s="305"/>
    </row>
    <row r="4" spans="2:223" ht="13.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37"/>
      <c r="N4" s="303"/>
      <c r="O4" s="355"/>
      <c r="P4" s="355"/>
      <c r="Q4" s="355"/>
      <c r="R4" s="355"/>
      <c r="S4" s="355"/>
      <c r="T4" s="355"/>
      <c r="U4" s="355"/>
      <c r="V4" s="355"/>
      <c r="W4" s="305"/>
    </row>
    <row r="5" spans="2:223" ht="15" customHeight="1">
      <c r="B5" s="390" t="s">
        <v>113</v>
      </c>
      <c r="C5" s="391"/>
      <c r="D5" s="391"/>
      <c r="E5" s="391"/>
      <c r="F5" s="391"/>
      <c r="G5" s="391"/>
      <c r="H5" s="391"/>
      <c r="I5" s="123"/>
      <c r="J5" s="377"/>
      <c r="K5" s="377"/>
      <c r="L5" s="392"/>
      <c r="N5" s="303"/>
      <c r="O5" s="355"/>
      <c r="P5" s="355"/>
      <c r="Q5" s="355"/>
      <c r="R5" s="355"/>
      <c r="S5" s="355"/>
      <c r="T5" s="355"/>
      <c r="U5" s="355"/>
      <c r="V5" s="355"/>
      <c r="W5" s="305"/>
    </row>
    <row r="6" spans="2:223" ht="15" customHeight="1">
      <c r="B6" s="138" t="str">
        <f>"Projected From The Last 90 Days Forward"</f>
        <v>Projected From The Last 90 Days Forward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  <c r="N6" s="303"/>
      <c r="O6" s="355"/>
      <c r="P6" s="355"/>
      <c r="Q6" s="355"/>
      <c r="R6" s="355"/>
      <c r="S6" s="355"/>
      <c r="T6" s="355"/>
      <c r="U6" s="355"/>
      <c r="V6" s="355"/>
      <c r="W6" s="305"/>
    </row>
    <row r="7" spans="2:223" ht="13.5" customHeight="1">
      <c r="B7" s="141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77"/>
      <c r="N7" s="303"/>
      <c r="O7" s="355"/>
      <c r="P7" s="355"/>
      <c r="Q7" s="355"/>
      <c r="R7" s="355"/>
      <c r="S7" s="355"/>
      <c r="T7" s="355"/>
      <c r="U7" s="355"/>
      <c r="V7" s="355"/>
      <c r="W7" s="305"/>
    </row>
    <row r="8" spans="2:223" ht="15" customHeight="1">
      <c r="B8" s="393" t="s">
        <v>114</v>
      </c>
      <c r="C8" s="394"/>
      <c r="D8" s="394"/>
      <c r="E8" s="394"/>
      <c r="F8" s="142"/>
      <c r="G8" s="142"/>
      <c r="H8" s="142"/>
      <c r="I8" s="142"/>
      <c r="J8" s="142"/>
      <c r="K8" s="142"/>
      <c r="L8" s="143"/>
      <c r="N8" s="303"/>
      <c r="O8" s="355"/>
      <c r="P8" s="355"/>
      <c r="Q8" s="355"/>
      <c r="R8" s="355"/>
      <c r="S8" s="355"/>
      <c r="T8" s="355"/>
      <c r="U8" s="355"/>
      <c r="V8" s="355"/>
      <c r="W8" s="305"/>
    </row>
    <row r="9" spans="2:223" ht="18.75" customHeight="1">
      <c r="B9" s="134" t="str">
        <f>"Last Month Income"</f>
        <v>Last Month Income</v>
      </c>
      <c r="C9" s="395">
        <f>'#data4'!B7</f>
        <v>660600</v>
      </c>
      <c r="D9" s="395"/>
      <c r="E9" s="395"/>
      <c r="F9" s="139"/>
      <c r="G9" s="139"/>
      <c r="H9" s="139"/>
      <c r="I9" s="139"/>
      <c r="J9" s="139"/>
      <c r="K9" s="139"/>
      <c r="L9" s="140"/>
      <c r="N9" s="303"/>
      <c r="O9" s="355"/>
      <c r="P9" s="355"/>
      <c r="Q9" s="355"/>
      <c r="R9" s="355"/>
      <c r="S9" s="355"/>
      <c r="T9" s="355"/>
      <c r="U9" s="355"/>
      <c r="V9" s="355"/>
      <c r="W9" s="305"/>
    </row>
    <row r="10" spans="2:223" ht="18.75" customHeight="1">
      <c r="B10" s="134" t="str">
        <f>"Last Month Expense"</f>
        <v>Last Month Expense</v>
      </c>
      <c r="C10" s="395">
        <f>'#data4'!B10</f>
        <v>41000</v>
      </c>
      <c r="D10" s="395"/>
      <c r="E10" s="395"/>
      <c r="F10" s="139"/>
      <c r="G10" s="139"/>
      <c r="H10" s="139"/>
      <c r="I10" s="139"/>
      <c r="J10" s="139"/>
      <c r="K10" s="139"/>
      <c r="L10" s="140"/>
      <c r="N10" s="303"/>
      <c r="O10" s="355"/>
      <c r="P10" s="355"/>
      <c r="Q10" s="355"/>
      <c r="R10" s="355"/>
      <c r="S10" s="355"/>
      <c r="T10" s="355"/>
      <c r="U10" s="355"/>
      <c r="V10" s="355"/>
      <c r="W10" s="305"/>
    </row>
    <row r="11" spans="2:223" ht="18.75" customHeight="1">
      <c r="B11" s="134" t="str">
        <f>"Last Month Net Income"</f>
        <v>Last Month Net Income</v>
      </c>
      <c r="C11" s="395">
        <f>'#data4'!B18</f>
        <v>198677.12</v>
      </c>
      <c r="D11" s="395"/>
      <c r="E11" s="395"/>
      <c r="F11" s="139"/>
      <c r="G11" s="139"/>
      <c r="H11" s="139"/>
      <c r="I11" s="139"/>
      <c r="J11" s="139"/>
      <c r="K11" s="139"/>
      <c r="L11" s="140"/>
      <c r="N11" s="303"/>
      <c r="O11" s="355"/>
      <c r="P11" s="355"/>
      <c r="Q11" s="355"/>
      <c r="R11" s="355"/>
      <c r="S11" s="355"/>
      <c r="T11" s="355"/>
      <c r="U11" s="355"/>
      <c r="V11" s="355"/>
      <c r="W11" s="305"/>
    </row>
    <row r="12" spans="2:223" ht="13.5" customHeight="1">
      <c r="B12" s="141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N12" s="303"/>
      <c r="O12" s="355"/>
      <c r="P12" s="355"/>
      <c r="Q12" s="355"/>
      <c r="R12" s="355"/>
      <c r="S12" s="355"/>
      <c r="T12" s="355"/>
      <c r="U12" s="355"/>
      <c r="V12" s="355"/>
      <c r="W12" s="305"/>
    </row>
    <row r="13" spans="2:223" ht="15" customHeight="1">
      <c r="B13" s="393" t="s">
        <v>115</v>
      </c>
      <c r="C13" s="394"/>
      <c r="D13" s="394"/>
      <c r="E13" s="394"/>
      <c r="F13" s="394"/>
      <c r="G13" s="394"/>
      <c r="H13" s="394"/>
      <c r="I13" s="394"/>
      <c r="J13" s="394"/>
      <c r="K13" s="394"/>
      <c r="L13" s="402"/>
      <c r="N13" s="303"/>
      <c r="O13" s="355"/>
      <c r="P13" s="355"/>
      <c r="Q13" s="355"/>
      <c r="R13" s="355"/>
      <c r="S13" s="355"/>
      <c r="T13" s="355"/>
      <c r="U13" s="355"/>
      <c r="V13" s="355"/>
      <c r="W13" s="305"/>
    </row>
    <row r="14" spans="2:223" ht="15" customHeight="1">
      <c r="B14" s="144"/>
      <c r="C14" s="139"/>
      <c r="D14" s="145"/>
      <c r="E14" s="145"/>
      <c r="F14" s="145"/>
      <c r="G14" s="145"/>
      <c r="H14" s="145"/>
      <c r="I14" s="145"/>
      <c r="J14" s="145"/>
      <c r="K14" s="145"/>
      <c r="L14" s="146"/>
      <c r="N14" s="303"/>
      <c r="O14" s="355"/>
      <c r="P14" s="355"/>
      <c r="Q14" s="355"/>
      <c r="R14" s="355"/>
      <c r="S14" s="355"/>
      <c r="T14" s="355"/>
      <c r="U14" s="355"/>
      <c r="V14" s="355"/>
      <c r="W14" s="305"/>
    </row>
    <row r="15" spans="2:223" ht="18" customHeight="1">
      <c r="B15" s="144"/>
      <c r="C15" s="139"/>
      <c r="D15" s="145"/>
      <c r="E15" s="145"/>
      <c r="F15" s="403" t="s">
        <v>116</v>
      </c>
      <c r="G15" s="403"/>
      <c r="H15" s="404" t="s">
        <v>117</v>
      </c>
      <c r="I15" s="404"/>
      <c r="J15" s="404"/>
      <c r="K15" s="404"/>
      <c r="L15" s="405"/>
      <c r="N15" s="303"/>
      <c r="O15" s="355"/>
      <c r="P15" s="355"/>
      <c r="Q15" s="355"/>
      <c r="R15" s="355"/>
      <c r="S15" s="355"/>
      <c r="T15" s="355"/>
      <c r="U15" s="355"/>
      <c r="V15" s="355"/>
      <c r="W15" s="305"/>
    </row>
    <row r="16" spans="2:223" s="80" customFormat="1" ht="26.25" customHeight="1" thickBot="1">
      <c r="B16" s="147"/>
      <c r="C16" s="148"/>
      <c r="D16" s="149"/>
      <c r="E16" s="149"/>
      <c r="F16" s="78" t="s">
        <v>118</v>
      </c>
      <c r="G16" s="78" t="s">
        <v>119</v>
      </c>
      <c r="H16" s="78" t="s">
        <v>120</v>
      </c>
      <c r="I16" s="78" t="s">
        <v>121</v>
      </c>
      <c r="J16" s="78" t="s">
        <v>122</v>
      </c>
      <c r="K16" s="78"/>
      <c r="L16" s="150" t="s">
        <v>123</v>
      </c>
      <c r="M16" s="79"/>
      <c r="N16" s="303"/>
      <c r="O16" s="355"/>
      <c r="P16" s="355"/>
      <c r="Q16" s="355"/>
      <c r="R16" s="355"/>
      <c r="S16" s="355"/>
      <c r="T16" s="355"/>
      <c r="U16" s="355"/>
      <c r="V16" s="355"/>
      <c r="W16" s="305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</row>
    <row r="17" spans="2:23" ht="7.5" customHeight="1">
      <c r="B17" s="141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N17" s="303"/>
      <c r="O17" s="355"/>
      <c r="P17" s="355"/>
      <c r="Q17" s="355"/>
      <c r="R17" s="355"/>
      <c r="S17" s="355"/>
      <c r="T17" s="355"/>
      <c r="U17" s="355"/>
      <c r="V17" s="355"/>
      <c r="W17" s="305"/>
    </row>
    <row r="18" spans="2:23" ht="18.75" customHeight="1">
      <c r="B18" s="151" t="str">
        <f>TRIM('#data4'!A7)</f>
        <v>Total Income</v>
      </c>
      <c r="C18" s="152"/>
      <c r="D18" s="152"/>
      <c r="E18" s="153"/>
      <c r="F18" s="154">
        <f>IFERROR(('#data4'!D7-'#data4'!E7)/'#data4'!E7,0)</f>
        <v>0.66270943275918481</v>
      </c>
      <c r="G18" s="155">
        <f>'#data4'!C7</f>
        <v>1981800</v>
      </c>
      <c r="H18" s="155">
        <f t="shared" ref="H18:H21" si="0">IFERROR((1+F18/4)*G18,0)</f>
        <v>2310139.3884605379</v>
      </c>
      <c r="I18" s="155">
        <f t="shared" ref="I18:I21" si="1">IFERROR((1+F18/4)*H18,0)</f>
        <v>2692877.179390871</v>
      </c>
      <c r="J18" s="155">
        <f t="shared" ref="J18:J21" si="2">IFERROR((1+F18/4)*I18,0)</f>
        <v>3139025.95640194</v>
      </c>
      <c r="K18" s="155"/>
      <c r="L18" s="156">
        <f t="shared" ref="L18:L21" si="3">SUM(G18:J18)</f>
        <v>10123842.524253348</v>
      </c>
      <c r="N18" s="303"/>
      <c r="O18" s="355"/>
      <c r="P18" s="355"/>
      <c r="Q18" s="355"/>
      <c r="R18" s="355"/>
      <c r="S18" s="355"/>
      <c r="T18" s="355"/>
      <c r="U18" s="355"/>
      <c r="V18" s="355"/>
      <c r="W18" s="305"/>
    </row>
    <row r="19" spans="2:23" ht="18.75" customHeight="1">
      <c r="B19" s="157" t="str">
        <f>TRIM('#data4'!A8)</f>
        <v>Total COGS</v>
      </c>
      <c r="C19" s="158"/>
      <c r="D19" s="158"/>
      <c r="E19" s="159"/>
      <c r="F19" s="160">
        <f>IFERROR(('#data4'!D8-'#data4'!E8)/'#data4'!E8,0)</f>
        <v>-0.19211278154363937</v>
      </c>
      <c r="G19" s="161">
        <f>'#data4'!C8</f>
        <v>1246868.6399999999</v>
      </c>
      <c r="H19" s="161">
        <f t="shared" si="0"/>
        <v>1186983.7893375163</v>
      </c>
      <c r="I19" s="161">
        <f t="shared" si="1"/>
        <v>1129975.0999833064</v>
      </c>
      <c r="J19" s="161">
        <f t="shared" si="2"/>
        <v>1075704.4351000951</v>
      </c>
      <c r="K19" s="161"/>
      <c r="L19" s="162">
        <f t="shared" si="3"/>
        <v>4639531.9644209184</v>
      </c>
      <c r="N19" s="303"/>
      <c r="O19" s="355"/>
      <c r="P19" s="355"/>
      <c r="Q19" s="355"/>
      <c r="R19" s="355"/>
      <c r="S19" s="355"/>
      <c r="T19" s="355"/>
      <c r="U19" s="355"/>
      <c r="V19" s="355"/>
      <c r="W19" s="305"/>
    </row>
    <row r="20" spans="2:23" ht="18.75" customHeight="1">
      <c r="B20" s="157" t="str">
        <f>TRIM('#data4'!A9)</f>
        <v>Gross Profit</v>
      </c>
      <c r="C20" s="158"/>
      <c r="D20" s="158"/>
      <c r="E20" s="159"/>
      <c r="F20" s="160">
        <f>IFERROR(('#data4'!D9-'#data4'!E9)/'#data4'!E9,0)</f>
        <v>2.1457053181154628</v>
      </c>
      <c r="G20" s="161">
        <f>'#data4'!C9</f>
        <v>734931.36</v>
      </c>
      <c r="H20" s="161">
        <f t="shared" si="0"/>
        <v>1129167.8919004574</v>
      </c>
      <c r="I20" s="161">
        <f t="shared" si="1"/>
        <v>1734883.2795744666</v>
      </c>
      <c r="J20" s="161">
        <f t="shared" si="2"/>
        <v>2665520.3493975988</v>
      </c>
      <c r="K20" s="161"/>
      <c r="L20" s="162">
        <f t="shared" si="3"/>
        <v>6264502.8808725225</v>
      </c>
      <c r="N20" s="303"/>
      <c r="O20" s="355"/>
      <c r="P20" s="355"/>
      <c r="Q20" s="355"/>
      <c r="R20" s="355"/>
      <c r="S20" s="355"/>
      <c r="T20" s="355"/>
      <c r="U20" s="355"/>
      <c r="V20" s="355"/>
      <c r="W20" s="305"/>
    </row>
    <row r="21" spans="2:23" ht="18.75" customHeight="1">
      <c r="B21" s="151" t="str">
        <f>TRIM('#data4'!A10)</f>
        <v>Total Expense</v>
      </c>
      <c r="C21" s="152"/>
      <c r="D21" s="152"/>
      <c r="E21" s="163"/>
      <c r="F21" s="154">
        <f>IFERROR(('#data4'!D10-'#data4'!E10)/'#data4'!E10,0)</f>
        <v>-0.2027327469421884</v>
      </c>
      <c r="G21" s="155">
        <f>'#data4'!C10</f>
        <v>123000</v>
      </c>
      <c r="H21" s="155">
        <f t="shared" si="0"/>
        <v>116765.96803152771</v>
      </c>
      <c r="I21" s="155">
        <f t="shared" si="1"/>
        <v>110847.89666942887</v>
      </c>
      <c r="J21" s="155">
        <f t="shared" si="2"/>
        <v>105229.77202328958</v>
      </c>
      <c r="K21" s="155"/>
      <c r="L21" s="156">
        <f t="shared" si="3"/>
        <v>455843.63672424614</v>
      </c>
      <c r="N21" s="303"/>
      <c r="O21" s="355"/>
      <c r="P21" s="355"/>
      <c r="Q21" s="355"/>
      <c r="R21" s="355"/>
      <c r="S21" s="355"/>
      <c r="T21" s="355"/>
      <c r="U21" s="355"/>
      <c r="V21" s="355"/>
      <c r="W21" s="305"/>
    </row>
    <row r="22" spans="2:23" ht="11.25" customHeight="1">
      <c r="B22" s="157"/>
      <c r="C22" s="158"/>
      <c r="D22" s="158"/>
      <c r="E22" s="139"/>
      <c r="F22" s="164"/>
      <c r="G22" s="161"/>
      <c r="H22" s="161"/>
      <c r="I22" s="161"/>
      <c r="J22" s="161"/>
      <c r="K22" s="165"/>
      <c r="L22" s="162"/>
      <c r="N22" s="303"/>
      <c r="O22" s="355"/>
      <c r="P22" s="355"/>
      <c r="Q22" s="355"/>
      <c r="R22" s="355"/>
      <c r="S22" s="355"/>
      <c r="T22" s="355"/>
      <c r="U22" s="355"/>
      <c r="V22" s="355"/>
      <c r="W22" s="305"/>
    </row>
    <row r="23" spans="2:23" ht="18.75" customHeight="1">
      <c r="B23" s="157" t="str">
        <f>TRIM('#data4'!A12)</f>
        <v>Net Ordinary Income</v>
      </c>
      <c r="C23" s="158"/>
      <c r="D23" s="158"/>
      <c r="E23" s="159"/>
      <c r="F23" s="160">
        <f>IFERROR(('#data4'!D12-'#data4'!E12)/'#data4'!E12,0)</f>
        <v>3.4325715665552492</v>
      </c>
      <c r="G23" s="161">
        <f>'#data4'!C12</f>
        <v>611931.36</v>
      </c>
      <c r="H23" s="161">
        <f>IFERROR((1+F23/4)*G23,0)</f>
        <v>1137055.9067548709</v>
      </c>
      <c r="I23" s="161">
        <f>IFERROR((1+F23/4)*H23,0)</f>
        <v>2112812.3505324875</v>
      </c>
      <c r="J23" s="161">
        <f>IFERROR((1+F23/4)*I23,0)</f>
        <v>3925907.250508632</v>
      </c>
      <c r="K23" s="161"/>
      <c r="L23" s="162">
        <f>SUM(G23:J23)</f>
        <v>7787706.8677959908</v>
      </c>
      <c r="N23" s="303"/>
      <c r="O23" s="355"/>
      <c r="P23" s="355"/>
      <c r="Q23" s="355"/>
      <c r="R23" s="355"/>
      <c r="S23" s="355"/>
      <c r="T23" s="355"/>
      <c r="U23" s="355"/>
      <c r="V23" s="355"/>
      <c r="W23" s="305"/>
    </row>
    <row r="24" spans="2:23" ht="11.25" customHeight="1">
      <c r="B24" s="157"/>
      <c r="C24" s="158"/>
      <c r="D24" s="158"/>
      <c r="E24" s="139"/>
      <c r="F24" s="160"/>
      <c r="G24" s="161"/>
      <c r="H24" s="139"/>
      <c r="I24" s="139"/>
      <c r="J24" s="139"/>
      <c r="K24" s="139"/>
      <c r="L24" s="140"/>
      <c r="N24" s="303"/>
      <c r="O24" s="355"/>
      <c r="P24" s="355"/>
      <c r="Q24" s="355"/>
      <c r="R24" s="355"/>
      <c r="S24" s="355"/>
      <c r="T24" s="355"/>
      <c r="U24" s="355"/>
      <c r="V24" s="355"/>
      <c r="W24" s="305"/>
    </row>
    <row r="25" spans="2:23" ht="18.75" customHeight="1" thickBot="1">
      <c r="B25" s="157" t="str">
        <f>TRIM('#data4'!A14)</f>
        <v>Total Other Income</v>
      </c>
      <c r="C25" s="158"/>
      <c r="D25" s="158"/>
      <c r="E25" s="139"/>
      <c r="F25" s="160">
        <f>IFERROR(('#data4'!D14-'#data4'!E14)/'#data4'!E14,0)</f>
        <v>-1</v>
      </c>
      <c r="G25" s="161">
        <f>'#data4'!C14</f>
        <v>0</v>
      </c>
      <c r="H25" s="161">
        <f t="shared" ref="H25:H27" si="4">IFERROR((1+F25/4)*G25,0)</f>
        <v>0</v>
      </c>
      <c r="I25" s="161">
        <f t="shared" ref="I25:I27" si="5">IFERROR((1+F25/4)*H25,0)</f>
        <v>0</v>
      </c>
      <c r="J25" s="161">
        <f t="shared" ref="J25:J27" si="6">IFERROR((1+F25/4)*I25,0)</f>
        <v>0</v>
      </c>
      <c r="K25" s="161"/>
      <c r="L25" s="162">
        <f t="shared" ref="L25:L27" si="7">SUM(G25:J25)</f>
        <v>0</v>
      </c>
      <c r="N25" s="306"/>
      <c r="O25" s="307"/>
      <c r="P25" s="307"/>
      <c r="Q25" s="307"/>
      <c r="R25" s="307"/>
      <c r="S25" s="307"/>
      <c r="T25" s="307"/>
      <c r="U25" s="307"/>
      <c r="V25" s="307"/>
      <c r="W25" s="308"/>
    </row>
    <row r="26" spans="2:23" ht="18.75" customHeight="1">
      <c r="B26" s="157" t="str">
        <f>TRIM('#data4'!A15)</f>
        <v>Total Other Expense</v>
      </c>
      <c r="C26" s="120"/>
      <c r="D26" s="120"/>
      <c r="E26" s="120"/>
      <c r="F26" s="160">
        <f>IFERROR(('#data4'!D15-'#data4'!E15)/'#data4'!E15,0)</f>
        <v>1</v>
      </c>
      <c r="G26" s="161">
        <f>'#data4'!C15</f>
        <v>6000</v>
      </c>
      <c r="H26" s="161">
        <f t="shared" si="4"/>
        <v>7500</v>
      </c>
      <c r="I26" s="161">
        <f t="shared" si="5"/>
        <v>9375</v>
      </c>
      <c r="J26" s="161">
        <f t="shared" si="6"/>
        <v>11718.75</v>
      </c>
      <c r="K26" s="161"/>
      <c r="L26" s="162">
        <f t="shared" si="7"/>
        <v>34593.75</v>
      </c>
      <c r="N26" s="289"/>
      <c r="O26" s="289"/>
      <c r="P26" s="289"/>
      <c r="Q26" s="289"/>
      <c r="R26" s="289"/>
      <c r="S26" s="289"/>
      <c r="T26" s="289"/>
      <c r="U26" s="289"/>
      <c r="V26" s="289"/>
      <c r="W26" s="289"/>
    </row>
    <row r="27" spans="2:23" ht="18.75" customHeight="1">
      <c r="B27" s="157" t="str">
        <f>TRIM('#data4'!A16)</f>
        <v>Net Other Income</v>
      </c>
      <c r="C27" s="139"/>
      <c r="D27" s="139"/>
      <c r="E27" s="139"/>
      <c r="F27" s="160">
        <f>IFERROR(('#data4'!D16-'#data4'!E16)/'#data4'!E16,0)</f>
        <v>-1.1528662420382165</v>
      </c>
      <c r="G27" s="161">
        <f>'#data4'!C16</f>
        <v>-6000</v>
      </c>
      <c r="H27" s="161">
        <f t="shared" si="4"/>
        <v>-4270.7006369426754</v>
      </c>
      <c r="I27" s="161">
        <f t="shared" si="5"/>
        <v>-3039.8139883970953</v>
      </c>
      <c r="J27" s="161">
        <f t="shared" si="6"/>
        <v>-2163.6892560724546</v>
      </c>
      <c r="K27" s="161"/>
      <c r="L27" s="162">
        <f t="shared" si="7"/>
        <v>-15474.203881412224</v>
      </c>
      <c r="N27" s="289"/>
      <c r="O27" s="289"/>
      <c r="P27" s="289"/>
      <c r="Q27" s="289"/>
      <c r="R27" s="289"/>
      <c r="S27" s="289"/>
      <c r="T27" s="289"/>
      <c r="U27" s="289"/>
      <c r="V27" s="289"/>
      <c r="W27" s="289"/>
    </row>
    <row r="28" spans="2:23" ht="11.25" customHeight="1">
      <c r="B28" s="119"/>
      <c r="C28" s="120"/>
      <c r="D28" s="120"/>
      <c r="E28" s="139"/>
      <c r="F28" s="160"/>
      <c r="G28" s="161"/>
      <c r="H28" s="139"/>
      <c r="I28" s="139"/>
      <c r="J28" s="139"/>
      <c r="K28" s="139"/>
      <c r="L28" s="140"/>
      <c r="N28" s="289"/>
      <c r="O28" s="289"/>
      <c r="P28" s="289"/>
      <c r="Q28" s="289"/>
      <c r="R28" s="289"/>
      <c r="S28" s="289"/>
      <c r="T28" s="289"/>
      <c r="U28" s="289"/>
      <c r="V28" s="289"/>
      <c r="W28" s="289"/>
    </row>
    <row r="29" spans="2:23" s="81" customFormat="1" ht="18.75" customHeight="1">
      <c r="B29" s="166" t="str">
        <f>TRIM('#data4'!A18)</f>
        <v>Net Income</v>
      </c>
      <c r="C29" s="167"/>
      <c r="D29" s="167"/>
      <c r="E29" s="167"/>
      <c r="F29" s="154">
        <f>IFERROR(('#data4'!D18-'#data4'!E18)/'#data4'!E18,0)</f>
        <v>2.8715317329655958</v>
      </c>
      <c r="G29" s="155">
        <f>'#data4'!C18</f>
        <v>605931.36</v>
      </c>
      <c r="H29" s="155">
        <f>IFERROR((1+F29/4)*G29,0)</f>
        <v>1040919.14205975</v>
      </c>
      <c r="I29" s="155">
        <f>IFERROR((1+F29/4)*H29,0)</f>
        <v>1788177.2290287239</v>
      </c>
      <c r="J29" s="155">
        <f>IFERROR((1+F29/4)*I29,0)</f>
        <v>3071879.1433593412</v>
      </c>
      <c r="K29" s="168"/>
      <c r="L29" s="156">
        <f>SUM(G29:J29)</f>
        <v>6506906.8744478151</v>
      </c>
      <c r="N29" s="289"/>
      <c r="O29" s="289"/>
      <c r="P29" s="289"/>
      <c r="Q29" s="289"/>
      <c r="R29" s="289"/>
      <c r="S29" s="289"/>
      <c r="T29" s="289"/>
      <c r="U29" s="289"/>
      <c r="V29" s="289"/>
      <c r="W29" s="289"/>
    </row>
    <row r="30" spans="2:23" ht="13.5" customHeight="1">
      <c r="B30" s="141"/>
      <c r="C30" s="139"/>
      <c r="D30" s="139"/>
      <c r="E30" s="139"/>
      <c r="F30" s="139"/>
      <c r="G30" s="139"/>
      <c r="H30" s="139"/>
      <c r="I30" s="139"/>
      <c r="J30" s="139"/>
      <c r="K30" s="139"/>
      <c r="L30" s="140"/>
      <c r="N30" s="288"/>
      <c r="O30" s="288"/>
      <c r="P30" s="288"/>
      <c r="Q30" s="288"/>
      <c r="R30" s="288"/>
      <c r="S30" s="288"/>
      <c r="T30" s="288"/>
      <c r="U30" s="288"/>
      <c r="V30" s="288"/>
      <c r="W30" s="288"/>
    </row>
    <row r="31" spans="2:23" ht="15" customHeight="1" thickBot="1">
      <c r="B31" s="406"/>
      <c r="C31" s="407"/>
      <c r="D31" s="407"/>
      <c r="E31" s="407"/>
      <c r="F31" s="407"/>
      <c r="G31" s="407"/>
      <c r="H31" s="407"/>
      <c r="I31" s="407"/>
      <c r="J31" s="407"/>
      <c r="K31" s="407"/>
      <c r="L31" s="408"/>
      <c r="N31" s="288"/>
      <c r="O31" s="288"/>
      <c r="P31" s="288"/>
      <c r="Q31" s="288"/>
      <c r="R31" s="288"/>
      <c r="S31" s="288"/>
      <c r="T31" s="288"/>
      <c r="U31" s="288"/>
      <c r="V31" s="288"/>
      <c r="W31" s="288"/>
    </row>
    <row r="32" spans="2:23" ht="15" customHeight="1" thickBot="1">
      <c r="B32" s="396" t="s">
        <v>21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8"/>
      <c r="N32" s="288"/>
      <c r="O32" s="288"/>
      <c r="P32" s="288"/>
      <c r="Q32" s="288"/>
      <c r="R32" s="288"/>
      <c r="S32" s="288"/>
      <c r="T32" s="288"/>
      <c r="U32" s="288"/>
      <c r="V32" s="288"/>
      <c r="W32" s="288"/>
    </row>
    <row r="33" spans="2:23" ht="15" customHeight="1" thickBot="1">
      <c r="B33" s="399" t="s">
        <v>105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1"/>
      <c r="N33" s="288"/>
      <c r="O33" s="288"/>
      <c r="P33" s="288"/>
      <c r="Q33" s="288"/>
      <c r="R33" s="288"/>
      <c r="S33" s="288"/>
      <c r="T33" s="288"/>
      <c r="U33" s="288"/>
      <c r="V33" s="288"/>
      <c r="W33" s="288"/>
    </row>
  </sheetData>
  <mergeCells count="15">
    <mergeCell ref="B32:L32"/>
    <mergeCell ref="B33:L33"/>
    <mergeCell ref="C10:E10"/>
    <mergeCell ref="C11:E11"/>
    <mergeCell ref="B13:L13"/>
    <mergeCell ref="F15:G15"/>
    <mergeCell ref="H15:L15"/>
    <mergeCell ref="B31:L31"/>
    <mergeCell ref="N2:W25"/>
    <mergeCell ref="B2:L2"/>
    <mergeCell ref="B3:L3"/>
    <mergeCell ref="B5:H5"/>
    <mergeCell ref="J5:L5"/>
    <mergeCell ref="B8:E8"/>
    <mergeCell ref="C9:E9"/>
  </mergeCells>
  <printOptions horizontalCentered="1"/>
  <pageMargins left="0.25" right="0.25" top="0.5" bottom="0.5" header="0.3" footer="0.3"/>
  <pageSetup fitToHeight="0" orientation="landscape" useFirstPageNumber="1" r:id="rId1"/>
  <headerFooter>
    <oddHeader>&amp;L&amp;"Arial"&amp;C&amp;"Arial"&amp;R&amp;"Arial"</oddHeader>
    <oddFooter>&amp;L&amp;"Arial"&amp;C&amp;"Arial"&amp;R&amp;"Arial"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F9BEBD4BF34F44B118E6D5FC3B56E3" ma:contentTypeVersion="8" ma:contentTypeDescription="Create a new document." ma:contentTypeScope="" ma:versionID="9d317fef81a5bec2f6127ba5fe7848a4">
  <xsd:schema xmlns:xsd="http://www.w3.org/2001/XMLSchema" xmlns:xs="http://www.w3.org/2001/XMLSchema" xmlns:p="http://schemas.microsoft.com/office/2006/metadata/properties" xmlns:ns2="1713e141-081c-434f-a9d3-0de2ef514442" xmlns:ns3="a66003fd-1df9-4220-9475-ad4e9cdee16d" targetNamespace="http://schemas.microsoft.com/office/2006/metadata/properties" ma:root="true" ma:fieldsID="f0d0531c61a8472459ade74cec842f26" ns2:_="" ns3:_="">
    <xsd:import namespace="1713e141-081c-434f-a9d3-0de2ef514442"/>
    <xsd:import namespace="a66003fd-1df9-4220-9475-ad4e9cdee16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3e141-081c-434f-a9d3-0de2ef5144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003fd-1df9-4220-9475-ad4e9cdee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55B4B-0309-451B-B5F1-1C3D785A82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1F4B05-E610-41A1-A86F-32F40EA8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3e141-081c-434f-a9d3-0de2ef514442"/>
    <ds:schemaRef ds:uri="a66003fd-1df9-4220-9475-ad4e9cdee1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F13E3-2687-4CAE-8DEA-3342BE208193}">
  <ds:schemaRefs>
    <ds:schemaRef ds:uri="http://purl.org/dc/terms/"/>
    <ds:schemaRef ds:uri="http://schemas.openxmlformats.org/package/2006/metadata/core-properties"/>
    <ds:schemaRef ds:uri="1713e141-081c-434f-a9d3-0de2ef51444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66003fd-1df9-4220-9475-ad4e9cdee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#data1</vt:lpstr>
      <vt:lpstr>KPI - Month Over Month Analysis</vt:lpstr>
      <vt:lpstr>#data2</vt:lpstr>
      <vt:lpstr>Expense Account Analysis</vt:lpstr>
      <vt:lpstr>#data3</vt:lpstr>
      <vt:lpstr>Income Analysis YOY but Month</vt:lpstr>
      <vt:lpstr>#data4</vt:lpstr>
      <vt:lpstr>Forecast Based on Performance </vt:lpstr>
      <vt:lpstr>'Expense Account Analysis'!Print_Area</vt:lpstr>
      <vt:lpstr>'Forecast Based on Performance '!Print_Area</vt:lpstr>
      <vt:lpstr>'Income Analysis YOY but Month'!Print_Area</vt:lpstr>
      <vt:lpstr>'KPI - Month Over Month Analysis'!Print_Area</vt:lpstr>
      <vt:lpstr>TELAST</vt:lpstr>
      <vt:lpstr>TETHIS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Staves</dc:creator>
  <cp:lastModifiedBy>Justin Clark</cp:lastModifiedBy>
  <dcterms:created xsi:type="dcterms:W3CDTF">2019-06-14T14:55:04Z</dcterms:created>
  <dcterms:modified xsi:type="dcterms:W3CDTF">2019-08-07T22:32:27Z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0x01010032F9BEBD4BF34F44B118E6D5FC3B56E3</vt:lpwstr>
  </property>
</Properties>
</file>